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57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c9f5c9940dbc8d5e/CURRENT-Subud PNW/2017 SPNW Financials/"/>
    </mc:Choice>
  </mc:AlternateContent>
  <bookViews>
    <workbookView xWindow="0" yWindow="0" windowWidth="23040" windowHeight="9084"/>
  </bookViews>
  <sheets>
    <sheet name="SPNW 2017 Budget and 2012-2016" sheetId="1" r:id="rId1"/>
  </sheets>
  <definedNames>
    <definedName name="_xlnm.Print_Area" localSheetId="0">'SPNW 2017 Budget and 2012-2016'!$A$1:$AK$82</definedName>
  </definedNames>
  <calcPr calcId="171027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81" i="1" l="1"/>
  <c r="B81" i="1"/>
  <c r="AG79" i="1"/>
  <c r="AG81" i="1" s="1"/>
  <c r="Z79" i="1"/>
  <c r="Z81" i="1" s="1"/>
  <c r="T79" i="1"/>
  <c r="R79" i="1"/>
  <c r="R81" i="1" s="1"/>
  <c r="P79" i="1"/>
  <c r="P81" i="1" s="1"/>
  <c r="E79" i="1"/>
  <c r="E81" i="1" s="1"/>
  <c r="B79" i="1"/>
  <c r="AK73" i="1"/>
  <c r="AH73" i="1"/>
  <c r="AG73" i="1"/>
  <c r="Z73" i="1"/>
  <c r="V73" i="1"/>
  <c r="S73" i="1"/>
  <c r="R73" i="1"/>
  <c r="Q73" i="1"/>
  <c r="P73" i="1"/>
  <c r="O73" i="1"/>
  <c r="N73" i="1"/>
  <c r="M73" i="1"/>
  <c r="L73" i="1"/>
  <c r="K73" i="1"/>
  <c r="J73" i="1"/>
  <c r="I73" i="1"/>
  <c r="H73" i="1"/>
  <c r="E73" i="1"/>
  <c r="C73" i="1"/>
  <c r="B73" i="1"/>
  <c r="AK72" i="1"/>
  <c r="AK74" i="1" s="1"/>
  <c r="AH72" i="1"/>
  <c r="AH74" i="1" s="1"/>
  <c r="AG72" i="1"/>
  <c r="AG74" i="1" s="1"/>
  <c r="Z72" i="1"/>
  <c r="Z74" i="1" s="1"/>
  <c r="V72" i="1"/>
  <c r="V74" i="1" s="1"/>
  <c r="S72" i="1"/>
  <c r="S74" i="1" s="1"/>
  <c r="R72" i="1"/>
  <c r="R74" i="1" s="1"/>
  <c r="Q72" i="1"/>
  <c r="Q74" i="1" s="1"/>
  <c r="P72" i="1"/>
  <c r="P74" i="1" s="1"/>
  <c r="O72" i="1"/>
  <c r="O74" i="1" s="1"/>
  <c r="N72" i="1"/>
  <c r="N74" i="1" s="1"/>
  <c r="M72" i="1"/>
  <c r="M74" i="1" s="1"/>
  <c r="L72" i="1"/>
  <c r="L74" i="1" s="1"/>
  <c r="K72" i="1"/>
  <c r="K74" i="1" s="1"/>
  <c r="J72" i="1"/>
  <c r="J74" i="1" s="1"/>
  <c r="I72" i="1"/>
  <c r="I74" i="1" s="1"/>
  <c r="H72" i="1"/>
  <c r="H74" i="1" s="1"/>
  <c r="F72" i="1"/>
  <c r="E72" i="1"/>
  <c r="E74" i="1" s="1"/>
  <c r="C72" i="1"/>
  <c r="C74" i="1" s="1"/>
  <c r="B72" i="1"/>
  <c r="B74" i="1" s="1"/>
  <c r="AK67" i="1"/>
  <c r="AH67" i="1"/>
  <c r="AG67" i="1"/>
  <c r="Z67" i="1"/>
  <c r="V67" i="1"/>
  <c r="S67" i="1"/>
  <c r="R67" i="1"/>
  <c r="Q67" i="1"/>
  <c r="P67" i="1"/>
  <c r="O67" i="1"/>
  <c r="N67" i="1"/>
  <c r="M67" i="1"/>
  <c r="L67" i="1"/>
  <c r="K67" i="1"/>
  <c r="J67" i="1"/>
  <c r="I67" i="1"/>
  <c r="H67" i="1"/>
  <c r="E67" i="1"/>
  <c r="C67" i="1"/>
  <c r="B67" i="1"/>
  <c r="AK66" i="1"/>
  <c r="AK69" i="1" s="1"/>
  <c r="AH66" i="1"/>
  <c r="AH69" i="1" s="1"/>
  <c r="V66" i="1"/>
  <c r="V69" i="1" s="1"/>
  <c r="S66" i="1"/>
  <c r="S69" i="1" s="1"/>
  <c r="R66" i="1"/>
  <c r="R69" i="1" s="1"/>
  <c r="O66" i="1"/>
  <c r="O69" i="1" s="1"/>
  <c r="N66" i="1"/>
  <c r="N69" i="1" s="1"/>
  <c r="M66" i="1"/>
  <c r="M69" i="1" s="1"/>
  <c r="L66" i="1"/>
  <c r="L69" i="1" s="1"/>
  <c r="K66" i="1"/>
  <c r="K69" i="1" s="1"/>
  <c r="J66" i="1"/>
  <c r="J69" i="1" s="1"/>
  <c r="I66" i="1"/>
  <c r="I69" i="1" s="1"/>
  <c r="H66" i="1"/>
  <c r="H69" i="1" s="1"/>
  <c r="C66" i="1"/>
  <c r="C69" i="1" s="1"/>
  <c r="AI61" i="1"/>
  <c r="AG61" i="1"/>
  <c r="AD61" i="1"/>
  <c r="AE61" i="1" s="1"/>
  <c r="T61" i="1"/>
  <c r="E61" i="1"/>
  <c r="AG55" i="1"/>
  <c r="AG57" i="1" s="1"/>
  <c r="Z55" i="1"/>
  <c r="Z57" i="1" s="1"/>
  <c r="S55" i="1"/>
  <c r="S57" i="1" s="1"/>
  <c r="R55" i="1"/>
  <c r="R57" i="1" s="1"/>
  <c r="Q55" i="1"/>
  <c r="Q57" i="1" s="1"/>
  <c r="P55" i="1"/>
  <c r="P57" i="1" s="1"/>
  <c r="O55" i="1"/>
  <c r="O57" i="1" s="1"/>
  <c r="N55" i="1"/>
  <c r="N57" i="1" s="1"/>
  <c r="M55" i="1"/>
  <c r="M57" i="1" s="1"/>
  <c r="L55" i="1"/>
  <c r="L57" i="1" s="1"/>
  <c r="K55" i="1"/>
  <c r="K57" i="1" s="1"/>
  <c r="J55" i="1"/>
  <c r="J57" i="1" s="1"/>
  <c r="I55" i="1"/>
  <c r="I57" i="1" s="1"/>
  <c r="H55" i="1"/>
  <c r="H57" i="1" s="1"/>
  <c r="F55" i="1"/>
  <c r="AA55" i="1" s="1"/>
  <c r="E55" i="1"/>
  <c r="E57" i="1" s="1"/>
  <c r="B55" i="1"/>
  <c r="B57" i="1" s="1"/>
  <c r="F57" i="1" s="1"/>
  <c r="T54" i="1"/>
  <c r="T55" i="1" s="1"/>
  <c r="AI51" i="1"/>
  <c r="AE51" i="1"/>
  <c r="AA51" i="1"/>
  <c r="AA73" i="1" s="1"/>
  <c r="T51" i="1"/>
  <c r="T73" i="1" s="1"/>
  <c r="F51" i="1"/>
  <c r="F73" i="1" s="1"/>
  <c r="AG48" i="1"/>
  <c r="AI48" i="1" s="1"/>
  <c r="Z48" i="1"/>
  <c r="AE48" i="1" s="1"/>
  <c r="S48" i="1"/>
  <c r="R48" i="1"/>
  <c r="Q48" i="1"/>
  <c r="P48" i="1"/>
  <c r="O48" i="1"/>
  <c r="N48" i="1"/>
  <c r="M48" i="1"/>
  <c r="L48" i="1"/>
  <c r="K48" i="1"/>
  <c r="J48" i="1"/>
  <c r="I48" i="1"/>
  <c r="H48" i="1"/>
  <c r="E48" i="1"/>
  <c r="B48" i="1"/>
  <c r="F48" i="1" s="1"/>
  <c r="AA48" i="1" s="1"/>
  <c r="AC48" i="1" s="1"/>
  <c r="V48" i="1" s="1"/>
  <c r="T47" i="1"/>
  <c r="Z46" i="1"/>
  <c r="T46" i="1"/>
  <c r="T45" i="1"/>
  <c r="T44" i="1"/>
  <c r="T43" i="1"/>
  <c r="T42" i="1"/>
  <c r="T41" i="1"/>
  <c r="T48" i="1" s="1"/>
  <c r="AH38" i="1"/>
  <c r="AI38" i="1" s="1"/>
  <c r="AG38" i="1"/>
  <c r="Z38" i="1"/>
  <c r="S38" i="1"/>
  <c r="R38" i="1"/>
  <c r="Q38" i="1"/>
  <c r="P38" i="1"/>
  <c r="O38" i="1"/>
  <c r="N38" i="1"/>
  <c r="M38" i="1"/>
  <c r="L38" i="1"/>
  <c r="K38" i="1"/>
  <c r="J38" i="1"/>
  <c r="I38" i="1"/>
  <c r="H38" i="1"/>
  <c r="F38" i="1"/>
  <c r="AA38" i="1" s="1"/>
  <c r="AA36" i="1" s="1"/>
  <c r="AC36" i="1" s="1"/>
  <c r="AC38" i="1" s="1"/>
  <c r="V38" i="1" s="1"/>
  <c r="E38" i="1"/>
  <c r="C38" i="1"/>
  <c r="C57" i="1" s="1"/>
  <c r="B38" i="1"/>
  <c r="AK37" i="1"/>
  <c r="AK38" i="1" s="1"/>
  <c r="AK57" i="1" s="1"/>
  <c r="AD37" i="1"/>
  <c r="AD38" i="1" s="1"/>
  <c r="AA37" i="1"/>
  <c r="AC37" i="1" s="1"/>
  <c r="V37" i="1"/>
  <c r="T37" i="1"/>
  <c r="T38" i="1" s="1"/>
  <c r="T36" i="1"/>
  <c r="AI33" i="1"/>
  <c r="AE33" i="1"/>
  <c r="AA33" i="1"/>
  <c r="AC33" i="1" s="1"/>
  <c r="AC67" i="1" s="1"/>
  <c r="T33" i="1"/>
  <c r="T67" i="1" s="1"/>
  <c r="F33" i="1"/>
  <c r="F67" i="1" s="1"/>
  <c r="AK29" i="1"/>
  <c r="AK59" i="1" s="1"/>
  <c r="AK63" i="1" s="1"/>
  <c r="AH29" i="1"/>
  <c r="I29" i="1"/>
  <c r="I59" i="1" s="1"/>
  <c r="I63" i="1" s="1"/>
  <c r="AG28" i="1"/>
  <c r="AG29" i="1" s="1"/>
  <c r="AC28" i="1"/>
  <c r="F28" i="1"/>
  <c r="AI25" i="1"/>
  <c r="AE25" i="1"/>
  <c r="AA25" i="1"/>
  <c r="T25" i="1"/>
  <c r="AG22" i="1"/>
  <c r="AG66" i="1" s="1"/>
  <c r="AG69" i="1" s="1"/>
  <c r="AE22" i="1"/>
  <c r="Z22" i="1"/>
  <c r="Z29" i="1" s="1"/>
  <c r="S22" i="1"/>
  <c r="S29" i="1" s="1"/>
  <c r="S59" i="1" s="1"/>
  <c r="S63" i="1" s="1"/>
  <c r="R22" i="1"/>
  <c r="R29" i="1" s="1"/>
  <c r="R59" i="1" s="1"/>
  <c r="R63" i="1" s="1"/>
  <c r="Q22" i="1"/>
  <c r="Q66" i="1" s="1"/>
  <c r="Q69" i="1" s="1"/>
  <c r="P22" i="1"/>
  <c r="P29" i="1" s="1"/>
  <c r="P59" i="1" s="1"/>
  <c r="P63" i="1" s="1"/>
  <c r="B22" i="1"/>
  <c r="F22" i="1" s="1"/>
  <c r="T21" i="1"/>
  <c r="E21" i="1"/>
  <c r="E22" i="1" s="1"/>
  <c r="T19" i="1"/>
  <c r="T22" i="1" s="1"/>
  <c r="T66" i="1" s="1"/>
  <c r="AI16" i="1"/>
  <c r="AG16" i="1"/>
  <c r="AC16" i="1"/>
  <c r="Z16" i="1"/>
  <c r="AE16" i="1" s="1"/>
  <c r="O16" i="1"/>
  <c r="O29" i="1" s="1"/>
  <c r="O59" i="1" s="1"/>
  <c r="O63" i="1" s="1"/>
  <c r="N16" i="1"/>
  <c r="N29" i="1" s="1"/>
  <c r="N59" i="1" s="1"/>
  <c r="N63" i="1" s="1"/>
  <c r="M16" i="1"/>
  <c r="M29" i="1" s="1"/>
  <c r="M59" i="1" s="1"/>
  <c r="M63" i="1" s="1"/>
  <c r="L16" i="1"/>
  <c r="L29" i="1" s="1"/>
  <c r="L59" i="1" s="1"/>
  <c r="L63" i="1" s="1"/>
  <c r="K16" i="1"/>
  <c r="K29" i="1" s="1"/>
  <c r="K59" i="1" s="1"/>
  <c r="K63" i="1" s="1"/>
  <c r="J16" i="1"/>
  <c r="I16" i="1"/>
  <c r="H16" i="1"/>
  <c r="H29" i="1" s="1"/>
  <c r="H59" i="1" s="1"/>
  <c r="H63" i="1" s="1"/>
  <c r="F16" i="1"/>
  <c r="E16" i="1"/>
  <c r="AI13" i="1"/>
  <c r="AG13" i="1"/>
  <c r="AD13" i="1"/>
  <c r="Z13" i="1"/>
  <c r="AE13" i="1" s="1"/>
  <c r="V13" i="1"/>
  <c r="T13" i="1"/>
  <c r="M13" i="1"/>
  <c r="L13" i="1"/>
  <c r="K13" i="1"/>
  <c r="J13" i="1"/>
  <c r="I13" i="1"/>
  <c r="H13" i="1"/>
  <c r="F13" i="1"/>
  <c r="E13" i="1"/>
  <c r="C13" i="1"/>
  <c r="C29" i="1" s="1"/>
  <c r="C59" i="1" s="1"/>
  <c r="B13" i="1"/>
  <c r="T12" i="1"/>
  <c r="AG9" i="1"/>
  <c r="AI9" i="1" s="1"/>
  <c r="Z9" i="1"/>
  <c r="S9" i="1"/>
  <c r="R9" i="1"/>
  <c r="Q9" i="1"/>
  <c r="P9" i="1"/>
  <c r="O9" i="1"/>
  <c r="N9" i="1"/>
  <c r="M9" i="1"/>
  <c r="L9" i="1"/>
  <c r="K9" i="1"/>
  <c r="J9" i="1"/>
  <c r="J29" i="1" s="1"/>
  <c r="I9" i="1"/>
  <c r="H9" i="1"/>
  <c r="E9" i="1"/>
  <c r="C9" i="1"/>
  <c r="B9" i="1"/>
  <c r="F9" i="1" s="1"/>
  <c r="AA9" i="1" s="1"/>
  <c r="AA3" i="1" s="1"/>
  <c r="AD8" i="1"/>
  <c r="V8" i="1"/>
  <c r="T8" i="1"/>
  <c r="AD7" i="1"/>
  <c r="AD9" i="1" s="1"/>
  <c r="V7" i="1"/>
  <c r="T7" i="1"/>
  <c r="V6" i="1"/>
  <c r="V9" i="1" s="1"/>
  <c r="T6" i="1"/>
  <c r="T9" i="1" s="1"/>
  <c r="AC5" i="1"/>
  <c r="AD29" i="1" l="1"/>
  <c r="AE9" i="1"/>
  <c r="F74" i="1"/>
  <c r="F66" i="1"/>
  <c r="F69" i="1" s="1"/>
  <c r="AA22" i="1"/>
  <c r="J59" i="1"/>
  <c r="J63" i="1" s="1"/>
  <c r="V29" i="1"/>
  <c r="AE38" i="1"/>
  <c r="AD57" i="1"/>
  <c r="AE57" i="1" s="1"/>
  <c r="AC55" i="1"/>
  <c r="AA57" i="1"/>
  <c r="T69" i="1"/>
  <c r="AE29" i="1"/>
  <c r="Z59" i="1"/>
  <c r="T57" i="1"/>
  <c r="AC9" i="1"/>
  <c r="AA8" i="1"/>
  <c r="AC8" i="1" s="1"/>
  <c r="AA6" i="1"/>
  <c r="AC6" i="1" s="1"/>
  <c r="AA7" i="1"/>
  <c r="AC7" i="1" s="1"/>
  <c r="AA12" i="1"/>
  <c r="E29" i="1"/>
  <c r="E59" i="1" s="1"/>
  <c r="E63" i="1" s="1"/>
  <c r="E66" i="1"/>
  <c r="E69" i="1" s="1"/>
  <c r="AG59" i="1"/>
  <c r="AI29" i="1"/>
  <c r="AI28" i="1"/>
  <c r="AC51" i="1"/>
  <c r="AC73" i="1" s="1"/>
  <c r="AE55" i="1"/>
  <c r="B66" i="1"/>
  <c r="B69" i="1" s="1"/>
  <c r="T72" i="1"/>
  <c r="T74" i="1" s="1"/>
  <c r="T16" i="1"/>
  <c r="T29" i="1" s="1"/>
  <c r="T59" i="1" s="1"/>
  <c r="T63" i="1" s="1"/>
  <c r="B29" i="1"/>
  <c r="Q29" i="1"/>
  <c r="Q59" i="1" s="1"/>
  <c r="Q63" i="1" s="1"/>
  <c r="AI22" i="1"/>
  <c r="AC25" i="1"/>
  <c r="AC72" i="1" s="1"/>
  <c r="AC74" i="1" s="1"/>
  <c r="AI55" i="1"/>
  <c r="Z66" i="1"/>
  <c r="Z69" i="1" s="1"/>
  <c r="AH57" i="1"/>
  <c r="AA67" i="1"/>
  <c r="AA72" i="1"/>
  <c r="AA74" i="1" s="1"/>
  <c r="P66" i="1"/>
  <c r="P69" i="1" s="1"/>
  <c r="Z63" i="1" l="1"/>
  <c r="AC12" i="1"/>
  <c r="AA13" i="1"/>
  <c r="AC22" i="1"/>
  <c r="AC66" i="1" s="1"/>
  <c r="AC69" i="1" s="1"/>
  <c r="AA66" i="1"/>
  <c r="AA69" i="1" s="1"/>
  <c r="AI57" i="1"/>
  <c r="AH59" i="1"/>
  <c r="AH63" i="1" s="1"/>
  <c r="V55" i="1"/>
  <c r="V57" i="1" s="1"/>
  <c r="V59" i="1" s="1"/>
  <c r="V63" i="1" s="1"/>
  <c r="AC57" i="1"/>
  <c r="F29" i="1"/>
  <c r="B59" i="1"/>
  <c r="AG63" i="1"/>
  <c r="AD59" i="1"/>
  <c r="AD63" i="1" s="1"/>
  <c r="AE59" i="1" l="1"/>
  <c r="AI63" i="1"/>
  <c r="AI59" i="1"/>
  <c r="B63" i="1"/>
  <c r="F59" i="1"/>
  <c r="AC13" i="1"/>
  <c r="AC29" i="1" s="1"/>
  <c r="AC59" i="1" s="1"/>
  <c r="AC63" i="1" s="1"/>
  <c r="AA29" i="1"/>
  <c r="AA59" i="1" s="1"/>
  <c r="AA63" i="1" s="1"/>
  <c r="AE63" i="1"/>
</calcChain>
</file>

<file path=xl/sharedStrings.xml><?xml version="1.0" encoding="utf-8"?>
<sst xmlns="http://schemas.openxmlformats.org/spreadsheetml/2006/main" count="79" uniqueCount="74">
  <si>
    <t>SPNW Inflow/Outflow - 2012 thru 12-31-16 Actuals, 2017 Budget</t>
  </si>
  <si>
    <t>2012 Actual</t>
  </si>
  <si>
    <t>2012 Budget</t>
  </si>
  <si>
    <t>2013 Actual</t>
  </si>
  <si>
    <t>2013 Total  Budget +2% over 2012 Actual</t>
  </si>
  <si>
    <t>2014 Actual</t>
  </si>
  <si>
    <t>2014 Total Budget at 1-18-14</t>
  </si>
  <si>
    <t>2015 Actual</t>
  </si>
  <si>
    <t>2014 Total Budget +2% over 2013 Budget</t>
  </si>
  <si>
    <t>Col I, but with Centers at 10% Increase</t>
  </si>
  <si>
    <t>2015 Budget Adopted on 1-14-15 By SPNW Dewan</t>
  </si>
  <si>
    <t>2015 Variance</t>
  </si>
  <si>
    <t>2016 Actual</t>
  </si>
  <si>
    <t>2016 Budget</t>
  </si>
  <si>
    <t>2016 Variance</t>
  </si>
  <si>
    <t>INFLOWS</t>
  </si>
  <si>
    <t>Center Contrib.</t>
  </si>
  <si>
    <t>Center Contrib.:Anchorage</t>
  </si>
  <si>
    <t>Center Contrib.:Bellingham</t>
  </si>
  <si>
    <t>Center Contrib.:Portland</t>
  </si>
  <si>
    <t>Center Contrib.:Seattle</t>
  </si>
  <si>
    <t>TOTAL Center Contrib.</t>
  </si>
  <si>
    <t>Indiv. Contrib.</t>
  </si>
  <si>
    <t>Indiv. Contrib.:Region</t>
  </si>
  <si>
    <t>TOTAL Indiv. Contrib.</t>
  </si>
  <si>
    <t xml:space="preserve">Interest </t>
  </si>
  <si>
    <t>Total Interest</t>
  </si>
  <si>
    <t>Menucha</t>
  </si>
  <si>
    <t>Menucha Inc.:Gift Shop</t>
  </si>
  <si>
    <t>Menucha Inc.:Donations</t>
  </si>
  <si>
    <t>Menucha Inc.:Registration</t>
  </si>
  <si>
    <t>TOTAL Menucha Inc.</t>
  </si>
  <si>
    <t>Regional Family Camp thru 2016/Art Camp 2017</t>
  </si>
  <si>
    <t>TOTAL Regional Family Camp</t>
  </si>
  <si>
    <t>Regional Meetings, Travel Fund, Web Site Support</t>
  </si>
  <si>
    <t>TOTAL Regional Meetings, Travel Fund, Web Site Support</t>
  </si>
  <si>
    <t>TOTAL INFLOWS</t>
  </si>
  <si>
    <t>OUTFLOWS</t>
  </si>
  <si>
    <t>Menucha Exp.</t>
  </si>
  <si>
    <t>TOTAL Menucha Exp.</t>
  </si>
  <si>
    <t>Other Regional Expenses</t>
  </si>
  <si>
    <t>Other Regional Expenses:Regional Insurance</t>
  </si>
  <si>
    <t>Other Regional Expenses:Transfers to Subud USA</t>
  </si>
  <si>
    <t>TOTAL Other Regional Expenses</t>
  </si>
  <si>
    <t>Regional Committee</t>
  </si>
  <si>
    <t>Other Committee Expenses</t>
  </si>
  <si>
    <t>Other Committee Expenses:Annual Fee:Oregon</t>
  </si>
  <si>
    <t>Other Committee Expenses:Annual Fee:Washington</t>
  </si>
  <si>
    <t>Other Committee Expenses:Bank Chrg</t>
  </si>
  <si>
    <t>Other Committee Expenses:Website Design Maintenance</t>
  </si>
  <si>
    <t>Regional Committee:Supplies/Telephone</t>
  </si>
  <si>
    <t>Regional Committee:Travel and Meetings</t>
  </si>
  <si>
    <t>TOTAL Regional Committee</t>
  </si>
  <si>
    <t>Regional Helpers</t>
  </si>
  <si>
    <t>Regional Helpers:Travel and Meetings</t>
  </si>
  <si>
    <t>TOTAL Regional Helpers</t>
  </si>
  <si>
    <t>TOTAL OUTFLOWS</t>
  </si>
  <si>
    <t>OVERALL SUBTOTAL</t>
  </si>
  <si>
    <t>Quarterly Transfers to Regional House Fund 10%</t>
  </si>
  <si>
    <t>OVERALL TOTAL</t>
  </si>
  <si>
    <t>Inflow</t>
  </si>
  <si>
    <t>Outflow--2015</t>
  </si>
  <si>
    <t>Outflow--2014 (Dec 2014 1st pmt for 2015)</t>
  </si>
  <si>
    <t>Net</t>
  </si>
  <si>
    <t>Family Camp/Art Camp</t>
  </si>
  <si>
    <t>Outflow</t>
  </si>
  <si>
    <t>cash as of 2-18-17</t>
  </si>
  <si>
    <t>US Bank General</t>
  </si>
  <si>
    <t>US Bank Event</t>
  </si>
  <si>
    <t>General Fund-ING/Capital One</t>
  </si>
  <si>
    <t>sub total</t>
  </si>
  <si>
    <t>House FUND-ING/Capital One</t>
  </si>
  <si>
    <t>Total Cash</t>
  </si>
  <si>
    <t>2017 Budget Adopted at 2-19-17 SPNW Dewan BSV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</si>
</sst>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&quot;$&quot;#,##0_);[Red]\(&quot;$&quot;#,##0\)"/>
    <numFmt numFmtId="164" formatCode="&quot;$&quot;#,##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 applyAlignment="1">
      <alignment horizontal="center"/>
    </xf>
    <xf numFmtId="6" fontId="0" fillId="0" borderId="0" xfId="0" applyNumberFormat="1"/>
    <xf numFmtId="0" fontId="3" fillId="0" borderId="0" xfId="0" applyFont="1" applyAlignment="1">
      <alignment horizontal="center" wrapText="1"/>
    </xf>
    <xf numFmtId="0" fontId="3" fillId="0" borderId="0" xfId="0" applyFont="1"/>
    <xf numFmtId="14" fontId="3" fillId="0" borderId="0" xfId="0" applyNumberFormat="1" applyFont="1" applyFill="1" applyAlignment="1">
      <alignment horizontal="center" wrapText="1"/>
    </xf>
    <xf numFmtId="6" fontId="3" fillId="0" borderId="0" xfId="0" applyNumberFormat="1" applyFont="1" applyAlignment="1">
      <alignment horizontal="center" wrapText="1"/>
    </xf>
    <xf numFmtId="17" fontId="3" fillId="0" borderId="0" xfId="0" applyNumberFormat="1" applyFont="1"/>
    <xf numFmtId="17" fontId="3" fillId="0" borderId="0" xfId="0" applyNumberFormat="1" applyFont="1" applyAlignment="1">
      <alignment horizontal="center" wrapText="1"/>
    </xf>
    <xf numFmtId="6" fontId="3" fillId="0" borderId="0" xfId="0" applyNumberFormat="1" applyFont="1" applyFill="1" applyAlignment="1">
      <alignment horizontal="center" wrapText="1"/>
    </xf>
    <xf numFmtId="0" fontId="0" fillId="0" borderId="0" xfId="0" applyFill="1"/>
    <xf numFmtId="164" fontId="3" fillId="0" borderId="0" xfId="0" applyNumberFormat="1" applyFont="1" applyAlignment="1">
      <alignment horizontal="center" wrapText="1"/>
    </xf>
    <xf numFmtId="0" fontId="0" fillId="0" borderId="0" xfId="0" applyAlignment="1">
      <alignment wrapText="1"/>
    </xf>
    <xf numFmtId="0" fontId="4" fillId="0" borderId="0" xfId="0" applyFont="1"/>
    <xf numFmtId="6" fontId="0" fillId="0" borderId="0" xfId="0" applyNumberFormat="1" applyFill="1"/>
    <xf numFmtId="164" fontId="0" fillId="0" borderId="0" xfId="0" applyNumberFormat="1"/>
    <xf numFmtId="0" fontId="1" fillId="0" borderId="0" xfId="0" applyFont="1"/>
    <xf numFmtId="6" fontId="0" fillId="0" borderId="1" xfId="0" applyNumberFormat="1" applyBorder="1"/>
    <xf numFmtId="6" fontId="0" fillId="0" borderId="1" xfId="0" applyNumberFormat="1" applyFill="1" applyBorder="1"/>
    <xf numFmtId="164" fontId="0" fillId="0" borderId="1" xfId="0" applyNumberFormat="1" applyBorder="1"/>
    <xf numFmtId="6" fontId="0" fillId="0" borderId="0" xfId="0" applyNumberFormat="1" applyBorder="1"/>
    <xf numFmtId="6" fontId="0" fillId="0" borderId="0" xfId="0" applyNumberFormat="1" applyFill="1" applyBorder="1"/>
    <xf numFmtId="6" fontId="5" fillId="0" borderId="1" xfId="0" applyNumberFormat="1" applyFont="1" applyBorder="1"/>
    <xf numFmtId="6" fontId="1" fillId="0" borderId="2" xfId="0" applyNumberFormat="1" applyFont="1" applyBorder="1"/>
    <xf numFmtId="6" fontId="1" fillId="0" borderId="2" xfId="0" applyNumberFormat="1" applyFont="1" applyFill="1" applyBorder="1"/>
    <xf numFmtId="6" fontId="1" fillId="0" borderId="1" xfId="0" applyNumberFormat="1" applyFont="1" applyBorder="1"/>
    <xf numFmtId="6" fontId="5" fillId="0" borderId="0" xfId="0" applyNumberFormat="1" applyFont="1"/>
    <xf numFmtId="6" fontId="1" fillId="0" borderId="0" xfId="0" applyNumberFormat="1" applyFont="1"/>
    <xf numFmtId="0" fontId="1" fillId="0" borderId="0" xfId="0" applyFont="1" applyFill="1"/>
    <xf numFmtId="6" fontId="1" fillId="0" borderId="3" xfId="0" applyNumberFormat="1" applyFont="1" applyBorder="1"/>
    <xf numFmtId="6" fontId="1" fillId="0" borderId="3" xfId="0" applyNumberFormat="1" applyFont="1" applyFill="1" applyBorder="1"/>
    <xf numFmtId="6" fontId="1" fillId="0" borderId="0" xfId="0" applyNumberFormat="1" applyFont="1" applyFill="1"/>
    <xf numFmtId="164" fontId="1" fillId="0" borderId="0" xfId="0" applyNumberFormat="1" applyFont="1"/>
    <xf numFmtId="6" fontId="1" fillId="0" borderId="1" xfId="0" applyNumberFormat="1" applyFont="1" applyFill="1" applyBorder="1"/>
    <xf numFmtId="6" fontId="1" fillId="0" borderId="0" xfId="0" applyNumberFormat="1" applyFont="1" applyBorder="1"/>
    <xf numFmtId="6" fontId="1" fillId="0" borderId="0" xfId="0" applyNumberFormat="1" applyFont="1" applyFill="1" applyBorder="1"/>
    <xf numFmtId="6" fontId="0" fillId="0" borderId="3" xfId="0" applyNumberFormat="1" applyFill="1" applyBorder="1"/>
    <xf numFmtId="6" fontId="0" fillId="0" borderId="2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403860</xdr:colOff>
      <xdr:row>67</xdr:row>
      <xdr:rowOff>99060</xdr:rowOff>
    </xdr:from>
    <xdr:to>
      <xdr:col>31</xdr:col>
      <xdr:colOff>220980</xdr:colOff>
      <xdr:row>73</xdr:row>
      <xdr:rowOff>22860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95B145C-3164-4BA2-A05B-CB5C74F04A87}"/>
            </a:ext>
          </a:extLst>
        </xdr:cNvPr>
        <xdr:cNvSpPr txBox="1"/>
      </xdr:nvSpPr>
      <xdr:spPr>
        <a:xfrm>
          <a:off x="6111240" y="13213080"/>
          <a:ext cx="1440180" cy="10210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shortfall to be covered by ING/Capital One General Fund Transfers as needed</a:t>
          </a:r>
        </a:p>
      </xdr:txBody>
    </xdr:sp>
    <xdr:clientData/>
  </xdr:twoCellAnchor>
  <xdr:twoCellAnchor>
    <xdr:from>
      <xdr:col>29</xdr:col>
      <xdr:colOff>883920</xdr:colOff>
      <xdr:row>63</xdr:row>
      <xdr:rowOff>15240</xdr:rowOff>
    </xdr:from>
    <xdr:to>
      <xdr:col>30</xdr:col>
      <xdr:colOff>83820</xdr:colOff>
      <xdr:row>66</xdr:row>
      <xdr:rowOff>167640</xdr:rowOff>
    </xdr:to>
    <xdr:cxnSp macro="">
      <xdr:nvCxnSpPr>
        <xdr:cNvPr id="3" name="Straight Arrow Connector 2">
          <a:extLst>
            <a:ext uri="{FF2B5EF4-FFF2-40B4-BE49-F238E27FC236}">
              <a16:creationId xmlns:a16="http://schemas.microsoft.com/office/drawing/2014/main" id="{3592C61F-290D-48C4-9041-1051AD1BB896}"/>
            </a:ext>
          </a:extLst>
        </xdr:cNvPr>
        <xdr:cNvCxnSpPr/>
      </xdr:nvCxnSpPr>
      <xdr:spPr>
        <a:xfrm flipH="1" flipV="1">
          <a:off x="6591300" y="12390120"/>
          <a:ext cx="213360" cy="70866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388620</xdr:colOff>
      <xdr:row>62</xdr:row>
      <xdr:rowOff>167640</xdr:rowOff>
    </xdr:from>
    <xdr:to>
      <xdr:col>36</xdr:col>
      <xdr:colOff>99060</xdr:colOff>
      <xdr:row>67</xdr:row>
      <xdr:rowOff>15240</xdr:rowOff>
    </xdr:to>
    <xdr:cxnSp macro="">
      <xdr:nvCxnSpPr>
        <xdr:cNvPr id="4" name="Straight Arrow Connector 3">
          <a:extLst>
            <a:ext uri="{FF2B5EF4-FFF2-40B4-BE49-F238E27FC236}">
              <a16:creationId xmlns:a16="http://schemas.microsoft.com/office/drawing/2014/main" id="{2134B8AC-6CF6-4D94-BE2D-1B2DE38F33E0}"/>
            </a:ext>
          </a:extLst>
        </xdr:cNvPr>
        <xdr:cNvCxnSpPr/>
      </xdr:nvCxnSpPr>
      <xdr:spPr>
        <a:xfrm flipV="1">
          <a:off x="7109460" y="12352020"/>
          <a:ext cx="2865120" cy="77724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K123"/>
  <sheetViews>
    <sheetView tabSelected="1" zoomScaleNormal="100" workbookViewId="0">
      <pane xSplit="1" ySplit="2" topLeftCell="B3" activePane="bottomRight" state="frozen"/>
      <selection activeCell="AE19" sqref="AE19:AF19"/>
      <selection pane="topRight" activeCell="AE19" sqref="AE19:AF19"/>
      <selection pane="bottomLeft" activeCell="AE19" sqref="AE19:AF19"/>
      <selection pane="bottomRight" activeCell="AL4" sqref="AL4"/>
    </sheetView>
  </sheetViews>
  <sheetFormatPr defaultRowHeight="14.4" x14ac:dyDescent="0.3"/>
  <cols>
    <col min="1" max="1" width="46.5546875" customWidth="1"/>
    <col min="2" max="2" width="8.21875" customWidth="1"/>
    <col min="3" max="3" width="11.109375" hidden="1" customWidth="1"/>
    <col min="4" max="4" width="3.21875" hidden="1" customWidth="1"/>
    <col min="5" max="5" width="8.21875" style="10" customWidth="1"/>
    <col min="6" max="6" width="10.44140625" style="2" hidden="1" customWidth="1"/>
    <col min="7" max="7" width="3.5546875" hidden="1" customWidth="1"/>
    <col min="8" max="19" width="0" hidden="1" customWidth="1"/>
    <col min="20" max="20" width="8" customWidth="1"/>
    <col min="21" max="21" width="4.109375" style="2" customWidth="1"/>
    <col min="22" max="25" width="0" style="10" hidden="1" customWidth="1"/>
    <col min="26" max="26" width="8.109375" style="15" customWidth="1"/>
    <col min="27" max="27" width="8.88671875" hidden="1" customWidth="1"/>
    <col min="28" max="28" width="5.88671875" style="14" hidden="1" customWidth="1"/>
    <col min="29" max="29" width="11.21875" hidden="1" customWidth="1"/>
    <col min="30" max="30" width="14.77734375" style="10" customWidth="1"/>
    <col min="32" max="32" width="4" customWidth="1"/>
    <col min="33" max="33" width="9.44140625" customWidth="1"/>
    <col min="34" max="34" width="8.88671875" style="2"/>
    <col min="36" max="36" width="5.88671875" customWidth="1"/>
    <col min="37" max="37" width="10.44140625" style="2" customWidth="1"/>
  </cols>
  <sheetData>
    <row r="1" spans="1:37" ht="18" x14ac:dyDescent="0.3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7" ht="89.4" customHeight="1" x14ac:dyDescent="0.3">
      <c r="B2" s="3" t="s">
        <v>1</v>
      </c>
      <c r="C2" s="4" t="s">
        <v>2</v>
      </c>
      <c r="E2" s="5" t="s">
        <v>3</v>
      </c>
      <c r="F2" s="6" t="s">
        <v>4</v>
      </c>
      <c r="H2" s="7">
        <v>41640</v>
      </c>
      <c r="I2" s="7">
        <v>41671</v>
      </c>
      <c r="J2" s="7">
        <v>41699</v>
      </c>
      <c r="K2" s="7">
        <v>41730</v>
      </c>
      <c r="L2" s="7">
        <v>41760</v>
      </c>
      <c r="M2" s="7">
        <v>41791</v>
      </c>
      <c r="N2" s="7">
        <v>41821</v>
      </c>
      <c r="O2" s="7">
        <v>41852</v>
      </c>
      <c r="P2" s="7">
        <v>41883</v>
      </c>
      <c r="Q2" s="7">
        <v>41913</v>
      </c>
      <c r="R2" s="7">
        <v>41944</v>
      </c>
      <c r="S2" s="7">
        <v>41974</v>
      </c>
      <c r="T2" s="8" t="s">
        <v>5</v>
      </c>
      <c r="U2"/>
      <c r="V2" s="9" t="s">
        <v>6</v>
      </c>
      <c r="W2" s="9"/>
      <c r="X2" s="9"/>
      <c r="Y2" s="9"/>
      <c r="Z2" s="3" t="s">
        <v>7</v>
      </c>
      <c r="AA2" s="6" t="s">
        <v>8</v>
      </c>
      <c r="AB2" s="10"/>
      <c r="AC2" s="11" t="s">
        <v>9</v>
      </c>
      <c r="AD2" s="9" t="s">
        <v>10</v>
      </c>
      <c r="AE2" s="3" t="s">
        <v>11</v>
      </c>
      <c r="AG2" s="12" t="s">
        <v>12</v>
      </c>
      <c r="AH2" s="6" t="s">
        <v>13</v>
      </c>
      <c r="AI2" s="3" t="s">
        <v>14</v>
      </c>
      <c r="AK2" s="6" t="s">
        <v>73</v>
      </c>
    </row>
    <row r="3" spans="1:37" x14ac:dyDescent="0.3">
      <c r="A3" s="13" t="s">
        <v>15</v>
      </c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/>
      <c r="V3" s="14"/>
      <c r="W3" s="14"/>
      <c r="X3" s="14"/>
      <c r="Y3" s="14"/>
      <c r="Z3" s="2"/>
      <c r="AA3" s="2">
        <f>AA9/C9</f>
        <v>1.0369776315789472</v>
      </c>
      <c r="AB3" s="10"/>
      <c r="AC3" s="15"/>
      <c r="AD3" s="14"/>
    </row>
    <row r="4" spans="1:37" x14ac:dyDescent="0.3">
      <c r="A4" s="16" t="s">
        <v>16</v>
      </c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/>
      <c r="V4" s="14"/>
      <c r="W4" s="14"/>
      <c r="X4" s="14"/>
      <c r="Y4" s="14"/>
      <c r="Z4" s="2"/>
      <c r="AA4" s="2"/>
      <c r="AB4" s="10"/>
      <c r="AC4" s="15"/>
      <c r="AD4" s="14"/>
    </row>
    <row r="5" spans="1:37" x14ac:dyDescent="0.3">
      <c r="A5" t="s">
        <v>17</v>
      </c>
      <c r="B5" s="2">
        <v>360</v>
      </c>
      <c r="C5" s="2">
        <v>420</v>
      </c>
      <c r="D5" s="2"/>
      <c r="E5" s="14">
        <v>0</v>
      </c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>
        <v>0</v>
      </c>
      <c r="U5"/>
      <c r="V5" s="14">
        <v>0</v>
      </c>
      <c r="W5" s="14"/>
      <c r="X5" s="14"/>
      <c r="Y5" s="14"/>
      <c r="Z5" s="2">
        <v>0</v>
      </c>
      <c r="AA5" s="2">
        <v>0</v>
      </c>
      <c r="AB5" s="10"/>
      <c r="AC5" s="15">
        <f>AA5*1.1</f>
        <v>0</v>
      </c>
      <c r="AD5" s="14"/>
      <c r="AG5" s="2"/>
    </row>
    <row r="6" spans="1:37" x14ac:dyDescent="0.3">
      <c r="A6" t="s">
        <v>18</v>
      </c>
      <c r="B6" s="2">
        <v>2340</v>
      </c>
      <c r="C6" s="2">
        <v>2340</v>
      </c>
      <c r="D6" s="2"/>
      <c r="E6" s="14">
        <v>2340</v>
      </c>
      <c r="H6" s="2"/>
      <c r="I6" s="2"/>
      <c r="J6" s="2">
        <v>600</v>
      </c>
      <c r="K6" s="2"/>
      <c r="L6" s="2">
        <v>600</v>
      </c>
      <c r="M6" s="2"/>
      <c r="N6" s="2"/>
      <c r="O6" s="2"/>
      <c r="P6" s="2">
        <v>600</v>
      </c>
      <c r="Q6" s="2"/>
      <c r="R6" s="2">
        <v>600</v>
      </c>
      <c r="S6" s="2"/>
      <c r="T6" s="2">
        <f>SUM(H6:R6)</f>
        <v>2400</v>
      </c>
      <c r="U6"/>
      <c r="V6" s="14">
        <f>2340+100</f>
        <v>2440</v>
      </c>
      <c r="W6" s="14"/>
      <c r="X6" s="14"/>
      <c r="Y6" s="14"/>
      <c r="Z6" s="2">
        <v>2400</v>
      </c>
      <c r="AA6" s="2">
        <f>C6*$AA$3</f>
        <v>2426.5276578947364</v>
      </c>
      <c r="AB6" s="10"/>
      <c r="AC6" s="15">
        <f t="shared" ref="AC6:AC8" si="0">AA6*1.1</f>
        <v>2669.1804236842104</v>
      </c>
      <c r="AD6" s="14">
        <v>2440</v>
      </c>
      <c r="AG6" s="2">
        <v>1800</v>
      </c>
    </row>
    <row r="7" spans="1:37" x14ac:dyDescent="0.3">
      <c r="A7" t="s">
        <v>19</v>
      </c>
      <c r="B7" s="2">
        <v>8400</v>
      </c>
      <c r="C7" s="2">
        <v>8400</v>
      </c>
      <c r="D7" s="2"/>
      <c r="E7" s="14">
        <v>8400</v>
      </c>
      <c r="H7" s="2">
        <v>750</v>
      </c>
      <c r="I7" s="2">
        <v>750</v>
      </c>
      <c r="J7" s="2">
        <v>750</v>
      </c>
      <c r="K7" s="2">
        <v>750</v>
      </c>
      <c r="L7" s="2">
        <v>750</v>
      </c>
      <c r="M7" s="2">
        <v>750</v>
      </c>
      <c r="N7" s="2">
        <v>750</v>
      </c>
      <c r="O7" s="2">
        <v>750</v>
      </c>
      <c r="P7" s="2">
        <v>750</v>
      </c>
      <c r="Q7" s="2">
        <v>750</v>
      </c>
      <c r="R7" s="2">
        <v>750</v>
      </c>
      <c r="S7" s="2">
        <v>750</v>
      </c>
      <c r="T7" s="2">
        <f>SUM(H7:S7)</f>
        <v>9000</v>
      </c>
      <c r="U7"/>
      <c r="V7" s="14">
        <f>8400+600</f>
        <v>9000</v>
      </c>
      <c r="W7" s="14"/>
      <c r="X7" s="14"/>
      <c r="Y7" s="14"/>
      <c r="Z7" s="2">
        <v>9000</v>
      </c>
      <c r="AA7" s="2">
        <f>C7*$AA$3</f>
        <v>8710.612105263157</v>
      </c>
      <c r="AB7" s="10"/>
      <c r="AC7" s="15">
        <f t="shared" si="0"/>
        <v>9581.6733157894741</v>
      </c>
      <c r="AD7" s="14">
        <f>750*12</f>
        <v>9000</v>
      </c>
      <c r="AG7" s="2">
        <v>9000</v>
      </c>
    </row>
    <row r="8" spans="1:37" x14ac:dyDescent="0.3">
      <c r="A8" t="s">
        <v>20</v>
      </c>
      <c r="B8" s="2">
        <v>7080</v>
      </c>
      <c r="C8" s="2">
        <v>7080</v>
      </c>
      <c r="D8" s="2"/>
      <c r="E8" s="14">
        <v>7080</v>
      </c>
      <c r="H8" s="2">
        <v>590</v>
      </c>
      <c r="I8" s="2">
        <v>690</v>
      </c>
      <c r="J8" s="2">
        <v>640</v>
      </c>
      <c r="K8" s="2">
        <v>640</v>
      </c>
      <c r="L8" s="2">
        <v>640</v>
      </c>
      <c r="M8" s="2">
        <v>640</v>
      </c>
      <c r="N8" s="2">
        <v>640</v>
      </c>
      <c r="O8" s="2">
        <v>640</v>
      </c>
      <c r="P8" s="2">
        <v>640</v>
      </c>
      <c r="Q8" s="2">
        <v>640</v>
      </c>
      <c r="R8" s="2">
        <v>640</v>
      </c>
      <c r="S8" s="2">
        <v>1840</v>
      </c>
      <c r="T8" s="2">
        <f>SUM(H8:S8)</f>
        <v>8880</v>
      </c>
      <c r="U8"/>
      <c r="V8" s="14">
        <f>7080+600</f>
        <v>7680</v>
      </c>
      <c r="W8" s="14"/>
      <c r="X8" s="14"/>
      <c r="Y8" s="14"/>
      <c r="Z8" s="2">
        <v>8880</v>
      </c>
      <c r="AA8" s="2">
        <f>C8*$AA$3</f>
        <v>7341.8016315789464</v>
      </c>
      <c r="AB8" s="10"/>
      <c r="AC8" s="15">
        <f t="shared" si="0"/>
        <v>8075.9817947368419</v>
      </c>
      <c r="AD8" s="14">
        <f>640*12</f>
        <v>7680</v>
      </c>
      <c r="AG8" s="2">
        <v>8880</v>
      </c>
    </row>
    <row r="9" spans="1:37" x14ac:dyDescent="0.3">
      <c r="A9" t="s">
        <v>21</v>
      </c>
      <c r="B9" s="17">
        <f>SUM(B5:B8)</f>
        <v>18180</v>
      </c>
      <c r="C9" s="17">
        <f>SUM(C5:C8)</f>
        <v>18240</v>
      </c>
      <c r="D9" s="17"/>
      <c r="E9" s="18">
        <f>SUM(E5:E8)</f>
        <v>17820</v>
      </c>
      <c r="F9" s="17">
        <f>B9*1.02</f>
        <v>18543.599999999999</v>
      </c>
      <c r="H9" s="18">
        <f t="shared" ref="H9:T9" si="1">SUM(H5:H8)</f>
        <v>1340</v>
      </c>
      <c r="I9" s="18">
        <f t="shared" si="1"/>
        <v>1440</v>
      </c>
      <c r="J9" s="18">
        <f t="shared" si="1"/>
        <v>1990</v>
      </c>
      <c r="K9" s="18">
        <f t="shared" si="1"/>
        <v>1390</v>
      </c>
      <c r="L9" s="18">
        <f t="shared" si="1"/>
        <v>1990</v>
      </c>
      <c r="M9" s="18">
        <f t="shared" si="1"/>
        <v>1390</v>
      </c>
      <c r="N9" s="18">
        <f t="shared" si="1"/>
        <v>1390</v>
      </c>
      <c r="O9" s="18">
        <f t="shared" si="1"/>
        <v>1390</v>
      </c>
      <c r="P9" s="18">
        <f t="shared" si="1"/>
        <v>1990</v>
      </c>
      <c r="Q9" s="18">
        <f t="shared" si="1"/>
        <v>1390</v>
      </c>
      <c r="R9" s="18">
        <f t="shared" si="1"/>
        <v>1990</v>
      </c>
      <c r="S9" s="18">
        <f t="shared" si="1"/>
        <v>2590</v>
      </c>
      <c r="T9" s="18">
        <f t="shared" si="1"/>
        <v>20280</v>
      </c>
      <c r="U9"/>
      <c r="V9" s="18">
        <f>SUM(V5:V8)</f>
        <v>19120</v>
      </c>
      <c r="W9" s="18"/>
      <c r="X9" s="18"/>
      <c r="Y9" s="18"/>
      <c r="Z9" s="18">
        <f t="shared" ref="Z9" si="2">SUM(Z5:Z8)</f>
        <v>20280</v>
      </c>
      <c r="AA9" s="17">
        <f>F9*1.02</f>
        <v>18914.471999999998</v>
      </c>
      <c r="AB9" s="10"/>
      <c r="AC9" s="19">
        <f>SUM(AC5:AC8)</f>
        <v>20326.835534210528</v>
      </c>
      <c r="AD9" s="18">
        <f>SUM(AD5:AD8)</f>
        <v>19120</v>
      </c>
      <c r="AE9" s="17">
        <f>Z9-AD9</f>
        <v>1160</v>
      </c>
      <c r="AG9" s="18">
        <f t="shared" ref="AG9" si="3">SUM(AG5:AG8)</f>
        <v>19680</v>
      </c>
      <c r="AH9" s="17">
        <v>19120</v>
      </c>
      <c r="AI9" s="17">
        <f>AG9-AH9</f>
        <v>560</v>
      </c>
      <c r="AK9" s="17">
        <v>20280</v>
      </c>
    </row>
    <row r="10" spans="1:37" x14ac:dyDescent="0.3">
      <c r="B10" s="20"/>
      <c r="C10" s="20"/>
      <c r="D10" s="20"/>
      <c r="E10" s="21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/>
      <c r="V10" s="14"/>
      <c r="W10" s="14"/>
      <c r="X10" s="14"/>
      <c r="Y10" s="14"/>
      <c r="Z10" s="2"/>
      <c r="AA10" s="2"/>
      <c r="AB10" s="10"/>
      <c r="AC10" s="15"/>
      <c r="AD10" s="14"/>
      <c r="AG10" s="2"/>
    </row>
    <row r="11" spans="1:37" x14ac:dyDescent="0.3">
      <c r="A11" s="16" t="s">
        <v>22</v>
      </c>
      <c r="B11" s="2"/>
      <c r="C11" s="2"/>
      <c r="D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/>
      <c r="V11" s="14"/>
      <c r="W11" s="14"/>
      <c r="X11" s="14"/>
      <c r="Y11" s="14"/>
      <c r="Z11" s="2"/>
      <c r="AA11" s="2"/>
      <c r="AB11" s="10"/>
      <c r="AC11" s="15"/>
      <c r="AD11" s="14"/>
      <c r="AG11" s="2"/>
    </row>
    <row r="12" spans="1:37" x14ac:dyDescent="0.3">
      <c r="A12" t="s">
        <v>23</v>
      </c>
      <c r="B12" s="2">
        <v>750</v>
      </c>
      <c r="C12" s="2">
        <v>800</v>
      </c>
      <c r="D12" s="2"/>
      <c r="E12" s="14">
        <v>450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2">
        <v>0</v>
      </c>
      <c r="O12" s="2">
        <v>0</v>
      </c>
      <c r="P12" s="2">
        <v>0</v>
      </c>
      <c r="Q12" s="2">
        <v>0</v>
      </c>
      <c r="R12" s="2">
        <v>0</v>
      </c>
      <c r="S12" s="2">
        <v>0</v>
      </c>
      <c r="T12" s="2">
        <f>SUM(H12:S12)</f>
        <v>0</v>
      </c>
      <c r="U12"/>
      <c r="V12" s="14">
        <v>450</v>
      </c>
      <c r="W12" s="14"/>
      <c r="X12" s="14"/>
      <c r="Y12" s="14"/>
      <c r="Z12" s="2">
        <v>2200</v>
      </c>
      <c r="AA12" s="2">
        <f>C12*AA3</f>
        <v>829.5821052631577</v>
      </c>
      <c r="AB12" s="10"/>
      <c r="AC12" s="15">
        <f>AA12</f>
        <v>829.5821052631577</v>
      </c>
      <c r="AD12" s="14">
        <v>450</v>
      </c>
      <c r="AG12" s="2">
        <v>300</v>
      </c>
    </row>
    <row r="13" spans="1:37" x14ac:dyDescent="0.3">
      <c r="A13" t="s">
        <v>24</v>
      </c>
      <c r="B13" s="17">
        <f>SUM(B12)</f>
        <v>750</v>
      </c>
      <c r="C13" s="17">
        <f>SUM(C12)</f>
        <v>800</v>
      </c>
      <c r="D13" s="17"/>
      <c r="E13" s="18">
        <f>SUM(E12)</f>
        <v>450</v>
      </c>
      <c r="F13" s="17">
        <f>B13*1.02</f>
        <v>765</v>
      </c>
      <c r="H13" s="18">
        <f t="shared" ref="H13:T13" si="4">SUM(H12)</f>
        <v>0</v>
      </c>
      <c r="I13" s="18">
        <f t="shared" si="4"/>
        <v>0</v>
      </c>
      <c r="J13" s="18">
        <f t="shared" si="4"/>
        <v>0</v>
      </c>
      <c r="K13" s="18">
        <f t="shared" si="4"/>
        <v>0</v>
      </c>
      <c r="L13" s="18">
        <f t="shared" si="4"/>
        <v>0</v>
      </c>
      <c r="M13" s="18">
        <f t="shared" si="4"/>
        <v>0</v>
      </c>
      <c r="N13" s="18">
        <v>0</v>
      </c>
      <c r="O13" s="18">
        <v>0</v>
      </c>
      <c r="P13" s="18">
        <v>0</v>
      </c>
      <c r="Q13" s="18">
        <v>0</v>
      </c>
      <c r="R13" s="18">
        <v>0</v>
      </c>
      <c r="S13" s="18">
        <v>0</v>
      </c>
      <c r="T13" s="18">
        <f t="shared" si="4"/>
        <v>0</v>
      </c>
      <c r="U13"/>
      <c r="V13" s="18">
        <f>SUM(V12)</f>
        <v>450</v>
      </c>
      <c r="W13" s="18"/>
      <c r="X13" s="18"/>
      <c r="Y13" s="18"/>
      <c r="Z13" s="18">
        <f t="shared" ref="Z13" si="5">SUM(Z12)</f>
        <v>2200</v>
      </c>
      <c r="AA13" s="17">
        <f>SUM(AA12)</f>
        <v>829.5821052631577</v>
      </c>
      <c r="AB13" s="10"/>
      <c r="AC13" s="19">
        <f>AA13</f>
        <v>829.5821052631577</v>
      </c>
      <c r="AD13" s="18">
        <f>SUM(AD12)</f>
        <v>450</v>
      </c>
      <c r="AE13" s="17">
        <f>Z13-AD13</f>
        <v>1750</v>
      </c>
      <c r="AG13" s="18">
        <f t="shared" ref="AG13" si="6">SUM(AG12)</f>
        <v>300</v>
      </c>
      <c r="AH13" s="17">
        <v>300</v>
      </c>
      <c r="AI13" s="17">
        <f>AG13-AH13</f>
        <v>0</v>
      </c>
      <c r="AK13" s="17">
        <v>300</v>
      </c>
    </row>
    <row r="14" spans="1:37" x14ac:dyDescent="0.3">
      <c r="B14" s="2"/>
      <c r="C14" s="2"/>
      <c r="D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/>
      <c r="V14" s="14"/>
      <c r="W14" s="14"/>
      <c r="X14" s="14"/>
      <c r="Y14" s="14"/>
      <c r="Z14" s="2"/>
      <c r="AA14" s="2"/>
      <c r="AB14" s="10"/>
      <c r="AC14" s="15"/>
      <c r="AD14" s="14"/>
      <c r="AG14" s="2"/>
    </row>
    <row r="15" spans="1:37" x14ac:dyDescent="0.3">
      <c r="A15" s="16" t="s">
        <v>25</v>
      </c>
      <c r="B15" s="2"/>
      <c r="C15" s="2"/>
      <c r="D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/>
      <c r="V15" s="14"/>
      <c r="W15" s="14"/>
      <c r="X15" s="14"/>
      <c r="Y15" s="14"/>
      <c r="Z15" s="2"/>
      <c r="AA15" s="2"/>
      <c r="AB15" s="10"/>
      <c r="AC15" s="15"/>
      <c r="AD15" s="14"/>
      <c r="AG15" s="2"/>
    </row>
    <row r="16" spans="1:37" x14ac:dyDescent="0.3">
      <c r="A16" t="s">
        <v>26</v>
      </c>
      <c r="B16" s="17">
        <v>112</v>
      </c>
      <c r="C16" s="17"/>
      <c r="D16" s="17"/>
      <c r="E16" s="18">
        <f>47.48+175.76</f>
        <v>223.23999999999998</v>
      </c>
      <c r="F16" s="17">
        <f>B16*1.02</f>
        <v>114.24000000000001</v>
      </c>
      <c r="H16" s="17">
        <f>7.1+16.81</f>
        <v>23.909999999999997</v>
      </c>
      <c r="I16" s="17">
        <f>6.42+15.19</f>
        <v>21.61</v>
      </c>
      <c r="J16" s="17">
        <f>7.13+16.93</f>
        <v>24.06</v>
      </c>
      <c r="K16" s="17">
        <f>6.86+16.82</f>
        <v>23.68</v>
      </c>
      <c r="L16" s="17">
        <f>7.12+17.39</f>
        <v>24.51</v>
      </c>
      <c r="M16" s="22">
        <f>6.89+16.96</f>
        <v>23.85</v>
      </c>
      <c r="N16" s="22">
        <f>6.81+17.96</f>
        <v>24.77</v>
      </c>
      <c r="O16" s="22">
        <f>4.42+17.97</f>
        <v>22.39</v>
      </c>
      <c r="P16" s="17">
        <v>21</v>
      </c>
      <c r="Q16" s="17">
        <v>22</v>
      </c>
      <c r="R16" s="17">
        <v>24</v>
      </c>
      <c r="S16" s="17">
        <v>26</v>
      </c>
      <c r="T16" s="17">
        <f>SUM(H16:S16)</f>
        <v>281.78000000000003</v>
      </c>
      <c r="U16"/>
      <c r="V16" s="18">
        <v>200</v>
      </c>
      <c r="W16" s="18"/>
      <c r="X16" s="18"/>
      <c r="Y16" s="18"/>
      <c r="Z16" s="17">
        <f>78.18+236.37</f>
        <v>314.55</v>
      </c>
      <c r="AA16" s="17">
        <v>200</v>
      </c>
      <c r="AB16" s="10"/>
      <c r="AC16" s="19">
        <f>AA16</f>
        <v>200</v>
      </c>
      <c r="AD16" s="18">
        <v>275</v>
      </c>
      <c r="AE16" s="17">
        <f>Z16-AD16</f>
        <v>39.550000000000011</v>
      </c>
      <c r="AG16" s="17">
        <f>84.61+237.84</f>
        <v>322.45</v>
      </c>
      <c r="AH16" s="17">
        <v>330</v>
      </c>
      <c r="AI16" s="17">
        <f>AG16-AH16</f>
        <v>-7.5500000000000114</v>
      </c>
      <c r="AK16" s="17">
        <v>330</v>
      </c>
    </row>
    <row r="17" spans="1:37" x14ac:dyDescent="0.3">
      <c r="B17" s="20"/>
      <c r="C17" s="20"/>
      <c r="D17" s="20"/>
      <c r="E17" s="21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/>
      <c r="V17" s="14"/>
      <c r="W17" s="14"/>
      <c r="X17" s="14"/>
      <c r="Y17" s="14"/>
      <c r="Z17" s="2"/>
      <c r="AA17" s="2"/>
      <c r="AB17" s="10"/>
      <c r="AC17" s="15"/>
      <c r="AD17" s="14"/>
      <c r="AG17" s="2"/>
    </row>
    <row r="18" spans="1:37" x14ac:dyDescent="0.3">
      <c r="A18" s="16" t="s">
        <v>27</v>
      </c>
      <c r="B18" s="2"/>
      <c r="C18" s="2"/>
      <c r="D18" s="2"/>
      <c r="E18" s="14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/>
      <c r="V18" s="14"/>
      <c r="W18" s="14"/>
      <c r="X18" s="14"/>
      <c r="Y18" s="14"/>
      <c r="Z18" s="2"/>
      <c r="AA18" s="2"/>
      <c r="AB18" s="10"/>
      <c r="AC18" s="15"/>
      <c r="AD18" s="14"/>
      <c r="AG18" s="2"/>
    </row>
    <row r="19" spans="1:37" x14ac:dyDescent="0.3">
      <c r="A19" t="s">
        <v>28</v>
      </c>
      <c r="B19" s="2">
        <v>2734.22</v>
      </c>
      <c r="C19" s="2"/>
      <c r="D19" s="2"/>
      <c r="E19" s="14">
        <v>1645</v>
      </c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>
        <v>543</v>
      </c>
      <c r="T19" s="2">
        <f>SUM(H19:S19)</f>
        <v>543</v>
      </c>
      <c r="U19"/>
      <c r="V19" s="14"/>
      <c r="W19" s="14"/>
      <c r="X19" s="14"/>
      <c r="Y19" s="14"/>
      <c r="Z19" s="2">
        <v>1889.94</v>
      </c>
      <c r="AA19" s="2"/>
      <c r="AB19" s="10"/>
      <c r="AC19" s="15"/>
      <c r="AD19" s="14"/>
      <c r="AG19" s="2">
        <v>2104.1799999999998</v>
      </c>
    </row>
    <row r="20" spans="1:37" x14ac:dyDescent="0.3">
      <c r="A20" t="s">
        <v>29</v>
      </c>
      <c r="B20" s="2"/>
      <c r="C20" s="2"/>
      <c r="D20" s="2"/>
      <c r="E20" s="14">
        <v>1088.8</v>
      </c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/>
      <c r="V20" s="14"/>
      <c r="W20" s="14"/>
      <c r="X20" s="14"/>
      <c r="Y20" s="14"/>
      <c r="Z20" s="2">
        <v>125</v>
      </c>
      <c r="AA20" s="2"/>
      <c r="AB20" s="10"/>
      <c r="AC20" s="15"/>
      <c r="AD20" s="14"/>
      <c r="AG20" s="2">
        <v>10</v>
      </c>
    </row>
    <row r="21" spans="1:37" x14ac:dyDescent="0.3">
      <c r="A21" t="s">
        <v>30</v>
      </c>
      <c r="B21" s="2">
        <v>21170.16</v>
      </c>
      <c r="C21" s="2"/>
      <c r="D21" s="2"/>
      <c r="E21" s="14">
        <f>22989.12-446.81</f>
        <v>22542.309999999998</v>
      </c>
      <c r="H21" s="2"/>
      <c r="I21" s="2"/>
      <c r="J21" s="2"/>
      <c r="K21" s="2"/>
      <c r="L21" s="2"/>
      <c r="M21" s="2"/>
      <c r="N21" s="2"/>
      <c r="O21" s="2"/>
      <c r="P21" s="2">
        <v>1353</v>
      </c>
      <c r="Q21" s="2">
        <v>2382</v>
      </c>
      <c r="R21" s="2">
        <v>21738</v>
      </c>
      <c r="S21" s="2">
        <v>1254</v>
      </c>
      <c r="T21" s="2">
        <f>SUM(H21:S21)</f>
        <v>26727</v>
      </c>
      <c r="U21"/>
      <c r="V21" s="14"/>
      <c r="W21" s="14"/>
      <c r="X21" s="14"/>
      <c r="Y21" s="14"/>
      <c r="Z21" s="2">
        <v>25840.35</v>
      </c>
      <c r="AA21" s="2"/>
      <c r="AB21" s="10"/>
      <c r="AC21" s="15"/>
      <c r="AD21" s="14"/>
      <c r="AG21" s="2">
        <v>25841.62</v>
      </c>
    </row>
    <row r="22" spans="1:37" x14ac:dyDescent="0.3">
      <c r="A22" t="s">
        <v>31</v>
      </c>
      <c r="B22" s="17">
        <f>SUM(B19:B21)</f>
        <v>23904.38</v>
      </c>
      <c r="C22" s="17">
        <v>28000</v>
      </c>
      <c r="D22" s="17"/>
      <c r="E22" s="18">
        <f>SUM(E19:E21)</f>
        <v>25276.109999999997</v>
      </c>
      <c r="F22" s="17">
        <f>B22*1.02</f>
        <v>24382.4676</v>
      </c>
      <c r="H22" s="17"/>
      <c r="I22" s="17"/>
      <c r="J22" s="17"/>
      <c r="K22" s="17"/>
      <c r="L22" s="17"/>
      <c r="M22" s="17"/>
      <c r="N22" s="17"/>
      <c r="O22" s="17"/>
      <c r="P22" s="17">
        <f>SUM(P19:P21)</f>
        <v>1353</v>
      </c>
      <c r="Q22" s="17">
        <f>SUM(Q19:Q21)</f>
        <v>2382</v>
      </c>
      <c r="R22" s="17">
        <f>SUM(R19:R21)</f>
        <v>21738</v>
      </c>
      <c r="S22" s="17">
        <f>SUM(S19:S21)</f>
        <v>1797</v>
      </c>
      <c r="T22" s="17">
        <f>SUM(T19:T21)</f>
        <v>27270</v>
      </c>
      <c r="U22"/>
      <c r="V22" s="18">
        <v>21000</v>
      </c>
      <c r="W22" s="18"/>
      <c r="X22" s="18"/>
      <c r="Y22" s="18"/>
      <c r="Z22" s="17">
        <f>SUM(Z19:Z21)</f>
        <v>27855.289999999997</v>
      </c>
      <c r="AA22" s="17">
        <f>F22*1.02</f>
        <v>24870.116952</v>
      </c>
      <c r="AB22" s="10"/>
      <c r="AC22" s="19">
        <f>AA22</f>
        <v>24870.116952</v>
      </c>
      <c r="AD22" s="18">
        <v>26000</v>
      </c>
      <c r="AE22" s="17">
        <f>Z22-AD22</f>
        <v>1855.2899999999972</v>
      </c>
      <c r="AG22" s="17">
        <f>SUM(AG19:AG21)</f>
        <v>27955.8</v>
      </c>
      <c r="AH22" s="17">
        <v>26500</v>
      </c>
      <c r="AI22" s="17">
        <f>AG22-AH22</f>
        <v>1455.7999999999993</v>
      </c>
      <c r="AK22" s="17">
        <v>27000</v>
      </c>
    </row>
    <row r="23" spans="1:37" x14ac:dyDescent="0.3">
      <c r="B23" s="2"/>
      <c r="C23" s="2"/>
      <c r="D23" s="2"/>
      <c r="E23" s="14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/>
      <c r="V23" s="14"/>
      <c r="W23" s="14"/>
      <c r="X23" s="14"/>
      <c r="Y23" s="14"/>
      <c r="Z23" s="2"/>
      <c r="AA23" s="2"/>
      <c r="AB23" s="10"/>
      <c r="AC23" s="15"/>
      <c r="AD23" s="14"/>
      <c r="AG23" s="2"/>
    </row>
    <row r="24" spans="1:37" x14ac:dyDescent="0.3">
      <c r="A24" s="16" t="s">
        <v>32</v>
      </c>
      <c r="B24" s="2"/>
      <c r="C24" s="2"/>
      <c r="D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/>
      <c r="V24" s="14"/>
      <c r="W24" s="14"/>
      <c r="X24" s="14"/>
      <c r="Y24" s="14"/>
      <c r="Z24" s="2"/>
      <c r="AA24" s="2"/>
      <c r="AB24" s="10"/>
      <c r="AC24" s="15"/>
      <c r="AD24" s="14"/>
      <c r="AG24" s="2"/>
    </row>
    <row r="25" spans="1:37" x14ac:dyDescent="0.3">
      <c r="A25" t="s">
        <v>33</v>
      </c>
      <c r="B25" s="17">
        <v>3295</v>
      </c>
      <c r="C25" s="17">
        <v>2500</v>
      </c>
      <c r="D25" s="17"/>
      <c r="E25" s="18">
        <v>3316.15</v>
      </c>
      <c r="F25" s="17">
        <v>3361</v>
      </c>
      <c r="H25" s="17"/>
      <c r="I25" s="17"/>
      <c r="J25" s="17"/>
      <c r="K25" s="17"/>
      <c r="L25" s="17"/>
      <c r="M25" s="17"/>
      <c r="N25" s="17">
        <v>450</v>
      </c>
      <c r="O25" s="17">
        <v>750</v>
      </c>
      <c r="P25" s="17">
        <v>1088</v>
      </c>
      <c r="Q25" s="17">
        <v>480</v>
      </c>
      <c r="R25" s="17">
        <v>324</v>
      </c>
      <c r="S25" s="17">
        <v>170</v>
      </c>
      <c r="T25" s="17">
        <f>SUM(H25:S25)</f>
        <v>3262</v>
      </c>
      <c r="U25"/>
      <c r="V25" s="18">
        <v>3000</v>
      </c>
      <c r="W25" s="18"/>
      <c r="X25" s="18"/>
      <c r="Y25" s="18"/>
      <c r="Z25" s="17">
        <v>1940.7</v>
      </c>
      <c r="AA25" s="17">
        <f>F25*1.02</f>
        <v>3428.2200000000003</v>
      </c>
      <c r="AB25" s="10"/>
      <c r="AC25" s="19">
        <f>AA25</f>
        <v>3428.2200000000003</v>
      </c>
      <c r="AD25" s="18">
        <v>3300</v>
      </c>
      <c r="AE25" s="17">
        <f>Z25-AD25</f>
        <v>-1359.3</v>
      </c>
      <c r="AG25" s="17">
        <v>0</v>
      </c>
      <c r="AH25" s="17">
        <v>0</v>
      </c>
      <c r="AI25" s="17">
        <f>AG25-AH25</f>
        <v>0</v>
      </c>
      <c r="AK25" s="17">
        <v>3000</v>
      </c>
    </row>
    <row r="26" spans="1:37" x14ac:dyDescent="0.3">
      <c r="B26" s="2"/>
      <c r="C26" s="2"/>
      <c r="D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/>
      <c r="V26" s="14"/>
      <c r="W26" s="14"/>
      <c r="X26" s="14"/>
      <c r="Y26" s="14"/>
      <c r="Z26" s="2"/>
      <c r="AA26" s="2"/>
      <c r="AB26" s="10"/>
      <c r="AC26" s="15"/>
      <c r="AD26" s="14"/>
    </row>
    <row r="27" spans="1:37" x14ac:dyDescent="0.3">
      <c r="A27" s="16" t="s">
        <v>34</v>
      </c>
      <c r="B27" s="2"/>
      <c r="C27" s="2"/>
      <c r="D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/>
      <c r="V27" s="14"/>
      <c r="W27" s="14"/>
      <c r="X27" s="14"/>
      <c r="Y27" s="14"/>
      <c r="Z27" s="2"/>
      <c r="AA27" s="2"/>
      <c r="AB27" s="10"/>
      <c r="AC27" s="15"/>
      <c r="AD27" s="14"/>
    </row>
    <row r="28" spans="1:37" x14ac:dyDescent="0.3">
      <c r="A28" t="s">
        <v>35</v>
      </c>
      <c r="B28" s="17">
        <v>25</v>
      </c>
      <c r="C28" s="17"/>
      <c r="D28" s="17"/>
      <c r="E28" s="18">
        <v>0</v>
      </c>
      <c r="F28" s="17">
        <f>B28*1.02</f>
        <v>25.5</v>
      </c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/>
      <c r="V28" s="14">
        <v>0</v>
      </c>
      <c r="W28" s="14"/>
      <c r="X28" s="14"/>
      <c r="Y28" s="14"/>
      <c r="Z28" s="17">
        <v>0</v>
      </c>
      <c r="AA28" s="2">
        <v>0</v>
      </c>
      <c r="AB28" s="10"/>
      <c r="AC28" s="19">
        <f>AA28</f>
        <v>0</v>
      </c>
      <c r="AD28" s="14">
        <v>0</v>
      </c>
      <c r="AG28" s="2">
        <f>125+354.04</f>
        <v>479.04</v>
      </c>
      <c r="AI28" s="2">
        <f>AG28-AH28</f>
        <v>479.04</v>
      </c>
      <c r="AK28" s="2">
        <v>500</v>
      </c>
    </row>
    <row r="29" spans="1:37" ht="15" thickBot="1" x14ac:dyDescent="0.35">
      <c r="A29" s="16" t="s">
        <v>36</v>
      </c>
      <c r="B29" s="23">
        <f>B28+B25+B22+B16+B13+B9</f>
        <v>46266.380000000005</v>
      </c>
      <c r="C29" s="23">
        <f>C28+C25+C22+C16+C13+C9</f>
        <v>49540</v>
      </c>
      <c r="D29" s="23"/>
      <c r="E29" s="24">
        <f>E28+E25+E22+E16+E13+E9</f>
        <v>47085.5</v>
      </c>
      <c r="F29" s="23">
        <f>B29*1.02</f>
        <v>47191.707600000009</v>
      </c>
      <c r="H29" s="23">
        <f t="shared" ref="H29:T29" si="7">H28+H25+H22+H16+H13+H9</f>
        <v>1363.91</v>
      </c>
      <c r="I29" s="23">
        <f t="shared" si="7"/>
        <v>1461.61</v>
      </c>
      <c r="J29" s="23">
        <f t="shared" si="7"/>
        <v>2014.06</v>
      </c>
      <c r="K29" s="23">
        <f t="shared" si="7"/>
        <v>1413.68</v>
      </c>
      <c r="L29" s="23">
        <f t="shared" si="7"/>
        <v>2014.51</v>
      </c>
      <c r="M29" s="23">
        <f t="shared" si="7"/>
        <v>1413.85</v>
      </c>
      <c r="N29" s="23">
        <f t="shared" si="7"/>
        <v>1864.77</v>
      </c>
      <c r="O29" s="23">
        <f t="shared" si="7"/>
        <v>2162.39</v>
      </c>
      <c r="P29" s="23">
        <f t="shared" si="7"/>
        <v>4452</v>
      </c>
      <c r="Q29" s="23">
        <f t="shared" si="7"/>
        <v>4274</v>
      </c>
      <c r="R29" s="23">
        <f t="shared" si="7"/>
        <v>24076</v>
      </c>
      <c r="S29" s="23">
        <f t="shared" si="7"/>
        <v>4583</v>
      </c>
      <c r="T29" s="23">
        <f t="shared" si="7"/>
        <v>51093.78</v>
      </c>
      <c r="U29"/>
      <c r="V29" s="24">
        <f>V28+V25+V22+V16+V13+V9</f>
        <v>43770</v>
      </c>
      <c r="W29" s="24"/>
      <c r="X29" s="24"/>
      <c r="Y29" s="24"/>
      <c r="Z29" s="23">
        <f t="shared" ref="Z29" si="8">Z28+Z25+Z22+Z16+Z13+Z9</f>
        <v>52590.539999999994</v>
      </c>
      <c r="AA29" s="23">
        <f>AA28+AA25+AA22+AA16+AA13+AA9</f>
        <v>48242.391057263158</v>
      </c>
      <c r="AB29" s="10"/>
      <c r="AC29" s="23">
        <f>AC28+AC25+AC22+AC16+AC13+AC9</f>
        <v>49654.754591473684</v>
      </c>
      <c r="AD29" s="24">
        <f>AD28+AD25+AD22+AD16+AD13+AD9</f>
        <v>49145</v>
      </c>
      <c r="AE29" s="23">
        <f>Z29-AD29</f>
        <v>3445.5399999999936</v>
      </c>
      <c r="AG29" s="23">
        <f t="shared" ref="AG29" si="9">AG28+AG25+AG22+AG16+AG13+AG9</f>
        <v>48737.29</v>
      </c>
      <c r="AH29" s="25">
        <f>SUM(AH9:AH28)</f>
        <v>46250</v>
      </c>
      <c r="AI29" s="25">
        <f>AG29-AH29</f>
        <v>2487.2900000000009</v>
      </c>
      <c r="AK29" s="25">
        <f>SUM(AK9:AK28)</f>
        <v>51410</v>
      </c>
    </row>
    <row r="30" spans="1:37" ht="15" thickTop="1" x14ac:dyDescent="0.3">
      <c r="B30" s="2"/>
      <c r="C30" s="2"/>
      <c r="D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/>
      <c r="V30" s="14"/>
      <c r="W30" s="14"/>
      <c r="X30" s="14"/>
      <c r="Y30" s="14"/>
      <c r="Z30" s="2"/>
      <c r="AA30" s="2"/>
      <c r="AB30" s="10"/>
      <c r="AC30" s="15"/>
      <c r="AD30" s="14"/>
    </row>
    <row r="31" spans="1:37" x14ac:dyDescent="0.3">
      <c r="A31" s="13" t="s">
        <v>37</v>
      </c>
      <c r="B31" s="2"/>
      <c r="C31" s="2"/>
      <c r="D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/>
      <c r="V31" s="14"/>
      <c r="W31" s="14"/>
      <c r="X31" s="14"/>
      <c r="Y31" s="14"/>
      <c r="Z31" s="2"/>
      <c r="AA31" s="2"/>
      <c r="AB31" s="10"/>
      <c r="AC31" s="15"/>
      <c r="AD31" s="14"/>
    </row>
    <row r="32" spans="1:37" x14ac:dyDescent="0.3">
      <c r="A32" s="16" t="s">
        <v>38</v>
      </c>
      <c r="B32" s="2"/>
      <c r="C32" s="2"/>
      <c r="D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/>
      <c r="V32" s="14"/>
      <c r="W32" s="14"/>
      <c r="X32" s="14"/>
      <c r="Y32" s="14"/>
      <c r="Z32" s="2"/>
      <c r="AA32" s="2"/>
      <c r="AB32" s="10"/>
      <c r="AC32" s="15"/>
      <c r="AD32" s="14"/>
    </row>
    <row r="33" spans="1:37" x14ac:dyDescent="0.3">
      <c r="A33" t="s">
        <v>39</v>
      </c>
      <c r="B33" s="17">
        <v>23649</v>
      </c>
      <c r="C33" s="17">
        <v>26000</v>
      </c>
      <c r="D33" s="17"/>
      <c r="E33" s="18">
        <v>25284</v>
      </c>
      <c r="F33" s="17">
        <f>B33*1.02</f>
        <v>24121.98</v>
      </c>
      <c r="H33" s="17"/>
      <c r="I33" s="17"/>
      <c r="J33" s="17">
        <v>957</v>
      </c>
      <c r="K33" s="17"/>
      <c r="L33" s="17"/>
      <c r="M33" s="17"/>
      <c r="N33" s="17"/>
      <c r="O33" s="17">
        <v>7540</v>
      </c>
      <c r="P33" s="17">
        <v>45</v>
      </c>
      <c r="Q33" s="17">
        <v>171</v>
      </c>
      <c r="R33" s="17">
        <v>12714</v>
      </c>
      <c r="S33" s="17">
        <v>2613</v>
      </c>
      <c r="T33" s="17">
        <f>SUM(H33:S33)</f>
        <v>24040</v>
      </c>
      <c r="U33"/>
      <c r="V33" s="18">
        <v>19000</v>
      </c>
      <c r="W33" s="18"/>
      <c r="X33" s="18"/>
      <c r="Y33" s="18"/>
      <c r="Z33" s="17">
        <v>22213.74</v>
      </c>
      <c r="AA33" s="17">
        <f>F33*1.02</f>
        <v>24604.419600000001</v>
      </c>
      <c r="AB33" s="10"/>
      <c r="AC33" s="19">
        <f>AA33</f>
        <v>24604.419600000001</v>
      </c>
      <c r="AD33" s="18">
        <v>22000</v>
      </c>
      <c r="AE33" s="17">
        <f>AD33-Z33</f>
        <v>-213.7400000000016</v>
      </c>
      <c r="AG33" s="17">
        <v>26370</v>
      </c>
      <c r="AH33" s="17">
        <v>22500</v>
      </c>
      <c r="AI33" s="17">
        <f>AG33-AH33</f>
        <v>3870</v>
      </c>
      <c r="AK33" s="17">
        <v>26000</v>
      </c>
    </row>
    <row r="34" spans="1:37" x14ac:dyDescent="0.3">
      <c r="B34" s="2"/>
      <c r="C34" s="2"/>
      <c r="D34" s="2"/>
      <c r="E34" s="14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/>
      <c r="V34" s="14"/>
      <c r="W34" s="14"/>
      <c r="X34" s="14"/>
      <c r="Y34" s="14"/>
      <c r="Z34" s="2"/>
      <c r="AA34" s="2"/>
      <c r="AB34" s="10"/>
      <c r="AC34" s="15"/>
      <c r="AD34" s="14"/>
      <c r="AG34" s="2"/>
    </row>
    <row r="35" spans="1:37" x14ac:dyDescent="0.3">
      <c r="A35" s="16" t="s">
        <v>40</v>
      </c>
      <c r="B35" s="2"/>
      <c r="C35" s="2"/>
      <c r="D35" s="2"/>
      <c r="E35" s="14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/>
      <c r="V35" s="14"/>
      <c r="W35" s="14"/>
      <c r="X35" s="14"/>
      <c r="Y35" s="14"/>
      <c r="Z35" s="2"/>
      <c r="AA35" s="2"/>
      <c r="AB35" s="10"/>
      <c r="AC35" s="15"/>
      <c r="AD35" s="14"/>
      <c r="AG35" s="2"/>
    </row>
    <row r="36" spans="1:37" x14ac:dyDescent="0.3">
      <c r="A36" t="s">
        <v>41</v>
      </c>
      <c r="B36" s="2">
        <v>352</v>
      </c>
      <c r="C36" s="2">
        <v>253</v>
      </c>
      <c r="D36" s="2"/>
      <c r="E36" s="14">
        <v>434</v>
      </c>
      <c r="H36" s="2"/>
      <c r="I36" s="2">
        <v>475</v>
      </c>
      <c r="J36" s="2"/>
      <c r="K36" s="2"/>
      <c r="L36" s="2">
        <v>189.92</v>
      </c>
      <c r="M36" s="2"/>
      <c r="N36" s="2">
        <v>95</v>
      </c>
      <c r="O36" s="2">
        <v>95</v>
      </c>
      <c r="P36" s="2">
        <v>95</v>
      </c>
      <c r="Q36" s="2">
        <v>95</v>
      </c>
      <c r="R36" s="2">
        <v>1569</v>
      </c>
      <c r="S36" s="2">
        <v>-690</v>
      </c>
      <c r="T36" s="2">
        <f>SUM(H36:S36)</f>
        <v>1923.92</v>
      </c>
      <c r="U36"/>
      <c r="V36" s="21">
        <v>500</v>
      </c>
      <c r="W36" s="21"/>
      <c r="X36" s="21"/>
      <c r="Y36" s="21"/>
      <c r="Z36" s="2">
        <v>1858.02</v>
      </c>
      <c r="AA36" s="20">
        <f>AA38-AA37</f>
        <v>587.980800000003</v>
      </c>
      <c r="AB36" s="10"/>
      <c r="AC36" s="15">
        <f>AA36</f>
        <v>587.980800000003</v>
      </c>
      <c r="AD36" s="21">
        <v>2700</v>
      </c>
      <c r="AG36" s="2">
        <v>528</v>
      </c>
      <c r="AH36" s="2">
        <v>3000</v>
      </c>
      <c r="AK36" s="2">
        <v>1100</v>
      </c>
    </row>
    <row r="37" spans="1:37" x14ac:dyDescent="0.3">
      <c r="A37" t="s">
        <v>42</v>
      </c>
      <c r="B37" s="2">
        <v>14400</v>
      </c>
      <c r="C37" s="2">
        <v>14400</v>
      </c>
      <c r="D37" s="2"/>
      <c r="E37" s="14">
        <v>14400</v>
      </c>
      <c r="H37" s="2">
        <v>1300</v>
      </c>
      <c r="I37" s="2">
        <v>1300</v>
      </c>
      <c r="J37" s="2">
        <v>0</v>
      </c>
      <c r="K37" s="2">
        <v>2615</v>
      </c>
      <c r="L37" s="2">
        <v>1300</v>
      </c>
      <c r="M37" s="2">
        <v>1315</v>
      </c>
      <c r="N37" s="26">
        <v>1300</v>
      </c>
      <c r="O37" s="2">
        <v>1300</v>
      </c>
      <c r="P37" s="2">
        <v>1315</v>
      </c>
      <c r="Q37" s="2"/>
      <c r="R37" s="2">
        <v>2600</v>
      </c>
      <c r="S37" s="2">
        <v>1315</v>
      </c>
      <c r="T37" s="2">
        <f>SUM(H37:S37)</f>
        <v>15660</v>
      </c>
      <c r="U37"/>
      <c r="V37" s="21">
        <f>14400+1300</f>
        <v>15700</v>
      </c>
      <c r="W37" s="21"/>
      <c r="X37" s="21"/>
      <c r="Y37" s="21"/>
      <c r="Z37" s="2">
        <v>15660</v>
      </c>
      <c r="AA37" s="20">
        <f>14400*1.025</f>
        <v>14759.999999999998</v>
      </c>
      <c r="AB37" s="10"/>
      <c r="AC37" s="15">
        <f>AA37+1892</f>
        <v>16652</v>
      </c>
      <c r="AD37" s="21">
        <f>14345+1315</f>
        <v>15660</v>
      </c>
      <c r="AG37" s="2">
        <v>15660</v>
      </c>
      <c r="AH37" s="2">
        <v>15660</v>
      </c>
      <c r="AK37" s="2">
        <f>15660*1.1</f>
        <v>17226</v>
      </c>
    </row>
    <row r="38" spans="1:37" x14ac:dyDescent="0.3">
      <c r="A38" t="s">
        <v>43</v>
      </c>
      <c r="B38" s="17">
        <f>SUM(B36:B37)</f>
        <v>14752</v>
      </c>
      <c r="C38" s="17">
        <f>SUM(C36:C37)</f>
        <v>14653</v>
      </c>
      <c r="D38" s="17"/>
      <c r="E38" s="18">
        <f>SUM(E36:E37)</f>
        <v>14834</v>
      </c>
      <c r="F38" s="17">
        <f>B38*1.02</f>
        <v>15047.04</v>
      </c>
      <c r="H38" s="17">
        <f>SUM(H36:H37)</f>
        <v>1300</v>
      </c>
      <c r="I38" s="17">
        <f t="shared" ref="I38:T38" si="10">SUM(I36:I37)</f>
        <v>1775</v>
      </c>
      <c r="J38" s="17">
        <f t="shared" si="10"/>
        <v>0</v>
      </c>
      <c r="K38" s="17">
        <f t="shared" si="10"/>
        <v>2615</v>
      </c>
      <c r="L38" s="17">
        <f t="shared" si="10"/>
        <v>1489.92</v>
      </c>
      <c r="M38" s="17">
        <f t="shared" si="10"/>
        <v>1315</v>
      </c>
      <c r="N38" s="17">
        <f t="shared" si="10"/>
        <v>1395</v>
      </c>
      <c r="O38" s="17">
        <f t="shared" si="10"/>
        <v>1395</v>
      </c>
      <c r="P38" s="17">
        <f t="shared" si="10"/>
        <v>1410</v>
      </c>
      <c r="Q38" s="17">
        <f t="shared" si="10"/>
        <v>95</v>
      </c>
      <c r="R38" s="17">
        <f t="shared" si="10"/>
        <v>4169</v>
      </c>
      <c r="S38" s="17">
        <f t="shared" si="10"/>
        <v>625</v>
      </c>
      <c r="T38" s="17">
        <f t="shared" si="10"/>
        <v>17583.919999999998</v>
      </c>
      <c r="U38"/>
      <c r="V38" s="18">
        <f>AC38*1.02</f>
        <v>17584.780416000005</v>
      </c>
      <c r="W38" s="18"/>
      <c r="X38" s="18"/>
      <c r="Y38" s="18"/>
      <c r="Z38" s="17">
        <f t="shared" ref="Z38" si="11">SUM(Z36:Z37)</f>
        <v>17518.02</v>
      </c>
      <c r="AA38" s="17">
        <f>F38*1.02</f>
        <v>15347.980800000001</v>
      </c>
      <c r="AB38" s="10"/>
      <c r="AC38" s="19">
        <f>SUM(AC36:AC37)</f>
        <v>17239.980800000005</v>
      </c>
      <c r="AD38" s="18">
        <f>SUM(AD36:AD37)</f>
        <v>18360</v>
      </c>
      <c r="AE38" s="17">
        <f>AD38-Z38</f>
        <v>841.97999999999956</v>
      </c>
      <c r="AG38" s="17">
        <f t="shared" ref="AG38" si="12">SUM(AG36:AG37)</f>
        <v>16188</v>
      </c>
      <c r="AH38" s="18">
        <f>SUM(AH36:AH37)</f>
        <v>18660</v>
      </c>
      <c r="AI38" s="17">
        <f>AH38-AG38</f>
        <v>2472</v>
      </c>
      <c r="AK38" s="18">
        <f>SUM(AK36:AK37)</f>
        <v>18326</v>
      </c>
    </row>
    <row r="39" spans="1:37" x14ac:dyDescent="0.3">
      <c r="B39" s="2"/>
      <c r="C39" s="2"/>
      <c r="D39" s="2"/>
      <c r="E39" s="14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/>
      <c r="V39" s="14"/>
      <c r="W39" s="14"/>
      <c r="X39" s="14"/>
      <c r="Y39" s="14"/>
      <c r="Z39" s="2"/>
      <c r="AA39" s="2"/>
      <c r="AB39" s="10"/>
      <c r="AC39" s="15"/>
      <c r="AD39" s="14"/>
      <c r="AG39" s="2"/>
    </row>
    <row r="40" spans="1:37" x14ac:dyDescent="0.3">
      <c r="A40" s="16" t="s">
        <v>44</v>
      </c>
      <c r="B40" s="2"/>
      <c r="C40" s="2"/>
      <c r="D40" s="2"/>
      <c r="E40" s="14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/>
      <c r="V40" s="14"/>
      <c r="W40" s="14"/>
      <c r="X40" s="14"/>
      <c r="Y40" s="14"/>
      <c r="Z40" s="2"/>
      <c r="AA40" s="2"/>
      <c r="AB40" s="10"/>
      <c r="AC40" s="15"/>
      <c r="AD40" s="14"/>
      <c r="AG40" s="2"/>
    </row>
    <row r="41" spans="1:37" x14ac:dyDescent="0.3">
      <c r="A41" t="s">
        <v>45</v>
      </c>
      <c r="B41" s="2">
        <v>200</v>
      </c>
      <c r="C41" s="2"/>
      <c r="D41" s="2"/>
      <c r="E41" s="14">
        <v>99</v>
      </c>
      <c r="H41" s="2"/>
      <c r="I41" s="2"/>
      <c r="J41" s="2"/>
      <c r="K41" s="2"/>
      <c r="L41" s="2"/>
      <c r="M41" s="2">
        <v>8</v>
      </c>
      <c r="N41" s="2">
        <v>400</v>
      </c>
      <c r="O41" s="2"/>
      <c r="P41" s="2"/>
      <c r="Q41" s="2"/>
      <c r="R41" s="2">
        <v>0</v>
      </c>
      <c r="S41" s="2"/>
      <c r="T41" s="2">
        <f>SUM(H41:S41)</f>
        <v>408</v>
      </c>
      <c r="U41"/>
      <c r="V41" s="14"/>
      <c r="W41" s="14"/>
      <c r="X41" s="14"/>
      <c r="Y41" s="14"/>
      <c r="Z41" s="2">
        <v>61.98</v>
      </c>
      <c r="AA41" s="2"/>
      <c r="AB41" s="10"/>
      <c r="AC41" s="15"/>
      <c r="AD41" s="14"/>
      <c r="AG41" s="2"/>
    </row>
    <row r="42" spans="1:37" x14ac:dyDescent="0.3">
      <c r="A42" t="s">
        <v>46</v>
      </c>
      <c r="B42" s="2">
        <v>100</v>
      </c>
      <c r="C42" s="2"/>
      <c r="D42" s="2"/>
      <c r="E42" s="14">
        <v>50</v>
      </c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>
        <v>50</v>
      </c>
      <c r="T42" s="2">
        <f t="shared" ref="T42:T47" si="13">SUM(H42:S42)</f>
        <v>50</v>
      </c>
      <c r="U42"/>
      <c r="V42" s="14"/>
      <c r="W42" s="14"/>
      <c r="X42" s="14"/>
      <c r="Y42" s="14"/>
      <c r="Z42" s="2">
        <v>50</v>
      </c>
      <c r="AA42" s="2"/>
      <c r="AB42" s="10"/>
      <c r="AC42" s="15"/>
      <c r="AD42" s="14"/>
      <c r="AG42" s="2">
        <v>50</v>
      </c>
    </row>
    <row r="43" spans="1:37" x14ac:dyDescent="0.3">
      <c r="A43" t="s">
        <v>47</v>
      </c>
      <c r="B43" s="2">
        <v>10</v>
      </c>
      <c r="C43" s="2"/>
      <c r="D43" s="2"/>
      <c r="E43" s="14">
        <v>10</v>
      </c>
      <c r="H43" s="2"/>
      <c r="I43" s="2"/>
      <c r="J43" s="2"/>
      <c r="K43" s="2"/>
      <c r="L43" s="2"/>
      <c r="M43" s="2"/>
      <c r="N43" s="2"/>
      <c r="O43" s="2"/>
      <c r="P43" s="2"/>
      <c r="Q43" s="2"/>
      <c r="R43" s="2">
        <v>10</v>
      </c>
      <c r="S43" s="2"/>
      <c r="T43" s="2">
        <f t="shared" si="13"/>
        <v>10</v>
      </c>
      <c r="U43"/>
      <c r="V43" s="14"/>
      <c r="W43" s="14"/>
      <c r="X43" s="14"/>
      <c r="Y43" s="14"/>
      <c r="Z43" s="2">
        <v>10</v>
      </c>
      <c r="AA43" s="2"/>
      <c r="AB43" s="10"/>
      <c r="AC43" s="15"/>
      <c r="AD43" s="14"/>
      <c r="AG43" s="2">
        <v>10</v>
      </c>
    </row>
    <row r="44" spans="1:37" x14ac:dyDescent="0.3">
      <c r="A44" t="s">
        <v>48</v>
      </c>
      <c r="B44" s="2">
        <v>18.05</v>
      </c>
      <c r="C44" s="2"/>
      <c r="D44" s="2"/>
      <c r="E44" s="14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>
        <f t="shared" si="13"/>
        <v>0</v>
      </c>
      <c r="U44"/>
      <c r="V44" s="14"/>
      <c r="W44" s="14"/>
      <c r="X44" s="14"/>
      <c r="Y44" s="14"/>
      <c r="Z44" s="2"/>
      <c r="AA44" s="2"/>
      <c r="AB44" s="10"/>
      <c r="AC44" s="15"/>
      <c r="AD44" s="14"/>
      <c r="AG44" s="2">
        <v>52.69</v>
      </c>
    </row>
    <row r="45" spans="1:37" x14ac:dyDescent="0.3">
      <c r="A45" t="s">
        <v>49</v>
      </c>
      <c r="B45" s="2">
        <v>94.8</v>
      </c>
      <c r="C45" s="2"/>
      <c r="D45" s="2"/>
      <c r="E45" s="14"/>
      <c r="H45" s="2"/>
      <c r="I45" s="2"/>
      <c r="J45" s="2"/>
      <c r="K45" s="2"/>
      <c r="L45" s="2"/>
      <c r="M45" s="2"/>
      <c r="N45" s="2"/>
      <c r="O45" s="2">
        <v>95</v>
      </c>
      <c r="P45" s="2"/>
      <c r="Q45" s="2"/>
      <c r="R45" s="2"/>
      <c r="S45" s="2">
        <v>33</v>
      </c>
      <c r="T45" s="2">
        <f t="shared" si="13"/>
        <v>128</v>
      </c>
      <c r="U45"/>
      <c r="V45" s="14"/>
      <c r="W45" s="14"/>
      <c r="X45" s="14"/>
      <c r="Y45" s="14"/>
      <c r="Z45" s="2"/>
      <c r="AA45" s="2"/>
      <c r="AB45" s="10"/>
      <c r="AC45" s="15"/>
      <c r="AD45" s="14"/>
      <c r="AG45" s="2">
        <v>594.79999999999995</v>
      </c>
    </row>
    <row r="46" spans="1:37" x14ac:dyDescent="0.3">
      <c r="A46" t="s">
        <v>50</v>
      </c>
      <c r="B46" s="2">
        <v>27.4</v>
      </c>
      <c r="C46" s="2"/>
      <c r="D46" s="2"/>
      <c r="E46" s="14">
        <v>23</v>
      </c>
      <c r="H46" s="2"/>
      <c r="I46" s="2"/>
      <c r="J46" s="2"/>
      <c r="K46" s="2"/>
      <c r="L46" s="2"/>
      <c r="M46" s="2"/>
      <c r="N46" s="2"/>
      <c r="O46" s="2">
        <v>5</v>
      </c>
      <c r="P46" s="2"/>
      <c r="Q46" s="2"/>
      <c r="R46" s="2">
        <v>4</v>
      </c>
      <c r="S46" s="2"/>
      <c r="T46" s="2">
        <f t="shared" si="13"/>
        <v>9</v>
      </c>
      <c r="U46"/>
      <c r="V46" s="14"/>
      <c r="W46" s="14"/>
      <c r="X46" s="14"/>
      <c r="Y46" s="14"/>
      <c r="Z46" s="2">
        <f>24+19.6</f>
        <v>43.6</v>
      </c>
      <c r="AA46" s="2"/>
      <c r="AB46" s="10"/>
      <c r="AC46" s="15"/>
      <c r="AD46" s="14"/>
      <c r="AG46" s="2">
        <v>37</v>
      </c>
    </row>
    <row r="47" spans="1:37" x14ac:dyDescent="0.3">
      <c r="A47" t="s">
        <v>51</v>
      </c>
      <c r="B47" s="2">
        <v>1049.49</v>
      </c>
      <c r="C47" s="2"/>
      <c r="D47" s="2"/>
      <c r="E47" s="14">
        <v>890</v>
      </c>
      <c r="H47" s="2"/>
      <c r="I47" s="2"/>
      <c r="J47" s="2"/>
      <c r="K47" s="2">
        <v>479</v>
      </c>
      <c r="L47" s="2"/>
      <c r="M47" s="2"/>
      <c r="N47" s="2">
        <v>750</v>
      </c>
      <c r="O47" s="2"/>
      <c r="P47" s="2"/>
      <c r="Q47" s="2"/>
      <c r="R47" s="2"/>
      <c r="S47" s="2"/>
      <c r="T47" s="2">
        <f t="shared" si="13"/>
        <v>1229</v>
      </c>
      <c r="U47"/>
      <c r="V47" s="14"/>
      <c r="W47" s="14"/>
      <c r="X47" s="14"/>
      <c r="Y47" s="14"/>
      <c r="Z47" s="2">
        <v>807</v>
      </c>
      <c r="AA47" s="2"/>
      <c r="AB47" s="10"/>
      <c r="AC47" s="15"/>
      <c r="AD47" s="14"/>
      <c r="AG47" s="2">
        <v>1200.83</v>
      </c>
    </row>
    <row r="48" spans="1:37" x14ac:dyDescent="0.3">
      <c r="A48" t="s">
        <v>52</v>
      </c>
      <c r="B48" s="17">
        <f>SUM(B41:B47)</f>
        <v>1499.74</v>
      </c>
      <c r="C48" s="17">
        <v>2500</v>
      </c>
      <c r="D48" s="17"/>
      <c r="E48" s="18">
        <f>SUM(E41:E47)</f>
        <v>1072</v>
      </c>
      <c r="F48" s="17">
        <f>B48*1.02</f>
        <v>1529.7348</v>
      </c>
      <c r="H48" s="17">
        <f t="shared" ref="H48:T48" si="14">SUM(H41:H47)</f>
        <v>0</v>
      </c>
      <c r="I48" s="17">
        <f t="shared" si="14"/>
        <v>0</v>
      </c>
      <c r="J48" s="17">
        <f t="shared" si="14"/>
        <v>0</v>
      </c>
      <c r="K48" s="17">
        <f t="shared" si="14"/>
        <v>479</v>
      </c>
      <c r="L48" s="17">
        <f t="shared" si="14"/>
        <v>0</v>
      </c>
      <c r="M48" s="17">
        <f t="shared" si="14"/>
        <v>8</v>
      </c>
      <c r="N48" s="17">
        <f t="shared" si="14"/>
        <v>1150</v>
      </c>
      <c r="O48" s="17">
        <f t="shared" si="14"/>
        <v>100</v>
      </c>
      <c r="P48" s="17">
        <f t="shared" si="14"/>
        <v>0</v>
      </c>
      <c r="Q48" s="17">
        <f t="shared" si="14"/>
        <v>0</v>
      </c>
      <c r="R48" s="17">
        <f t="shared" si="14"/>
        <v>14</v>
      </c>
      <c r="S48" s="17">
        <f t="shared" si="14"/>
        <v>83</v>
      </c>
      <c r="T48" s="17">
        <f t="shared" si="14"/>
        <v>1834</v>
      </c>
      <c r="U48"/>
      <c r="V48" s="18">
        <f>AC48*1.025</f>
        <v>1607.1776242499998</v>
      </c>
      <c r="W48" s="18"/>
      <c r="X48" s="18"/>
      <c r="Y48" s="18"/>
      <c r="Z48" s="17">
        <f t="shared" ref="Z48" si="15">SUM(Z41:Z47)</f>
        <v>972.57999999999993</v>
      </c>
      <c r="AA48" s="17">
        <f>F48*1.025</f>
        <v>1567.9781699999999</v>
      </c>
      <c r="AB48" s="10"/>
      <c r="AC48" s="19">
        <f>AA48</f>
        <v>1567.9781699999999</v>
      </c>
      <c r="AD48" s="18">
        <v>1850</v>
      </c>
      <c r="AE48" s="17">
        <f>AD48-Z48</f>
        <v>877.42000000000007</v>
      </c>
      <c r="AG48" s="17">
        <f t="shared" ref="AG48" si="16">SUM(AG41:AG47)</f>
        <v>1945.32</v>
      </c>
      <c r="AH48" s="17">
        <v>1000</v>
      </c>
      <c r="AI48" s="17">
        <f>AH48-AG48</f>
        <v>-945.31999999999994</v>
      </c>
      <c r="AK48" s="17">
        <v>2000</v>
      </c>
    </row>
    <row r="49" spans="1:37" x14ac:dyDescent="0.3">
      <c r="B49" s="2"/>
      <c r="C49" s="2"/>
      <c r="D49" s="2"/>
      <c r="E49" s="14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/>
      <c r="V49" s="14"/>
      <c r="W49" s="14"/>
      <c r="X49" s="14"/>
      <c r="Y49" s="14"/>
      <c r="Z49" s="2"/>
      <c r="AA49" s="2"/>
      <c r="AB49" s="10"/>
      <c r="AC49" s="15"/>
      <c r="AD49" s="14"/>
      <c r="AG49" s="2"/>
    </row>
    <row r="50" spans="1:37" x14ac:dyDescent="0.3">
      <c r="A50" s="16" t="s">
        <v>32</v>
      </c>
      <c r="B50" s="2"/>
      <c r="C50" s="2"/>
      <c r="D50" s="2"/>
      <c r="E50" s="14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/>
      <c r="V50" s="14"/>
      <c r="W50" s="14"/>
      <c r="X50" s="14"/>
      <c r="Y50" s="14"/>
      <c r="Z50" s="2"/>
      <c r="AA50" s="2"/>
      <c r="AB50" s="10"/>
      <c r="AC50" s="15"/>
      <c r="AD50" s="14"/>
      <c r="AG50" s="2"/>
    </row>
    <row r="51" spans="1:37" x14ac:dyDescent="0.3">
      <c r="A51" t="s">
        <v>33</v>
      </c>
      <c r="B51" s="17">
        <v>3406</v>
      </c>
      <c r="C51" s="17">
        <v>2000</v>
      </c>
      <c r="D51" s="17"/>
      <c r="E51" s="18">
        <v>2348</v>
      </c>
      <c r="F51" s="17">
        <f>B51*1.02</f>
        <v>3474.12</v>
      </c>
      <c r="H51" s="17">
        <v>0</v>
      </c>
      <c r="I51" s="17">
        <v>0</v>
      </c>
      <c r="J51" s="17">
        <v>0</v>
      </c>
      <c r="K51" s="17">
        <v>0</v>
      </c>
      <c r="L51" s="17">
        <v>0</v>
      </c>
      <c r="M51" s="17">
        <v>0</v>
      </c>
      <c r="N51" s="17">
        <v>0</v>
      </c>
      <c r="O51" s="17">
        <v>0</v>
      </c>
      <c r="P51" s="17">
        <v>3128</v>
      </c>
      <c r="Q51" s="17">
        <v>0</v>
      </c>
      <c r="R51" s="17">
        <v>0</v>
      </c>
      <c r="S51" s="17"/>
      <c r="T51" s="17">
        <f>SUM(H51:P51)</f>
        <v>3128</v>
      </c>
      <c r="U51"/>
      <c r="V51" s="18">
        <v>2500</v>
      </c>
      <c r="W51" s="18"/>
      <c r="X51" s="18"/>
      <c r="Y51" s="18"/>
      <c r="Z51" s="17">
        <v>2392</v>
      </c>
      <c r="AA51" s="2">
        <f>F51*1.025</f>
        <v>3560.9729999999995</v>
      </c>
      <c r="AB51" s="10"/>
      <c r="AC51" s="19">
        <f>AA51</f>
        <v>3560.9729999999995</v>
      </c>
      <c r="AD51" s="18">
        <v>3200</v>
      </c>
      <c r="AE51" s="17">
        <f>AD51-Z51</f>
        <v>808</v>
      </c>
      <c r="AG51" s="17">
        <v>0</v>
      </c>
      <c r="AH51" s="17">
        <v>0</v>
      </c>
      <c r="AI51" s="17">
        <f>AH51-AG51</f>
        <v>0</v>
      </c>
      <c r="AK51" s="17">
        <v>3000</v>
      </c>
    </row>
    <row r="52" spans="1:37" x14ac:dyDescent="0.3">
      <c r="B52" s="2"/>
      <c r="C52" s="2"/>
      <c r="D52" s="2"/>
      <c r="E52" s="14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/>
      <c r="V52" s="14"/>
      <c r="W52" s="14"/>
      <c r="X52" s="14"/>
      <c r="Y52" s="14"/>
      <c r="Z52" s="2"/>
      <c r="AA52" s="2"/>
      <c r="AB52" s="10"/>
      <c r="AC52" s="15"/>
      <c r="AD52" s="14"/>
      <c r="AG52" s="2"/>
    </row>
    <row r="53" spans="1:37" x14ac:dyDescent="0.3">
      <c r="A53" s="16" t="s">
        <v>53</v>
      </c>
      <c r="B53" s="2"/>
      <c r="C53" s="2"/>
      <c r="D53" s="2"/>
      <c r="E53" s="14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/>
      <c r="V53" s="14"/>
      <c r="W53" s="14"/>
      <c r="X53" s="14"/>
      <c r="Y53" s="14"/>
      <c r="Z53" s="2"/>
      <c r="AA53" s="2"/>
      <c r="AB53" s="10"/>
      <c r="AC53" s="15"/>
      <c r="AD53" s="14"/>
      <c r="AG53" s="2"/>
    </row>
    <row r="54" spans="1:37" x14ac:dyDescent="0.3">
      <c r="A54" t="s">
        <v>54</v>
      </c>
      <c r="B54" s="2">
        <v>1643.14</v>
      </c>
      <c r="C54" s="2"/>
      <c r="D54" s="2"/>
      <c r="E54" s="14">
        <v>673</v>
      </c>
      <c r="H54" s="2">
        <v>124</v>
      </c>
      <c r="I54" s="2"/>
      <c r="J54" s="2"/>
      <c r="K54" s="2">
        <v>100</v>
      </c>
      <c r="L54" s="2">
        <v>127.5</v>
      </c>
      <c r="M54" s="2"/>
      <c r="N54" s="2">
        <v>394</v>
      </c>
      <c r="O54" s="2">
        <v>127</v>
      </c>
      <c r="P54" s="2">
        <v>88</v>
      </c>
      <c r="Q54" s="2">
        <v>0</v>
      </c>
      <c r="R54" s="2">
        <v>0</v>
      </c>
      <c r="S54" s="2">
        <v>263</v>
      </c>
      <c r="T54" s="2">
        <f>SUM(H54:S54)</f>
        <v>1223.5</v>
      </c>
      <c r="U54"/>
      <c r="V54" s="14"/>
      <c r="W54" s="14"/>
      <c r="X54" s="14"/>
      <c r="Y54" s="14"/>
      <c r="Z54" s="2">
        <v>2088.23</v>
      </c>
      <c r="AA54" s="2"/>
      <c r="AB54" s="10"/>
      <c r="AC54" s="15"/>
      <c r="AD54" s="14"/>
      <c r="AG54" s="2">
        <v>1201.98</v>
      </c>
    </row>
    <row r="55" spans="1:37" x14ac:dyDescent="0.3">
      <c r="A55" t="s">
        <v>55</v>
      </c>
      <c r="B55" s="17">
        <f>SUM(B54)</f>
        <v>1643.14</v>
      </c>
      <c r="C55" s="17">
        <v>2500</v>
      </c>
      <c r="D55" s="17"/>
      <c r="E55" s="18">
        <f>SUM(E54)</f>
        <v>673</v>
      </c>
      <c r="F55" s="17">
        <f>B55*1.02</f>
        <v>1676.0028000000002</v>
      </c>
      <c r="H55" s="17">
        <f t="shared" ref="H55:T55" si="17">SUM(H54)</f>
        <v>124</v>
      </c>
      <c r="I55" s="17">
        <f t="shared" si="17"/>
        <v>0</v>
      </c>
      <c r="J55" s="17">
        <f t="shared" si="17"/>
        <v>0</v>
      </c>
      <c r="K55" s="17">
        <f t="shared" si="17"/>
        <v>100</v>
      </c>
      <c r="L55" s="17">
        <f t="shared" si="17"/>
        <v>127.5</v>
      </c>
      <c r="M55" s="17">
        <f t="shared" si="17"/>
        <v>0</v>
      </c>
      <c r="N55" s="17">
        <f t="shared" si="17"/>
        <v>394</v>
      </c>
      <c r="O55" s="17">
        <f t="shared" si="17"/>
        <v>127</v>
      </c>
      <c r="P55" s="17">
        <f t="shared" si="17"/>
        <v>88</v>
      </c>
      <c r="Q55" s="17">
        <f t="shared" ref="Q55:S55" si="18">SUM(Q54)</f>
        <v>0</v>
      </c>
      <c r="R55" s="17">
        <f t="shared" si="18"/>
        <v>0</v>
      </c>
      <c r="S55" s="17">
        <f t="shared" si="18"/>
        <v>263</v>
      </c>
      <c r="T55" s="17">
        <f t="shared" si="17"/>
        <v>1223.5</v>
      </c>
      <c r="U55"/>
      <c r="V55" s="18">
        <f>AC55*1.025</f>
        <v>1760.8504417500001</v>
      </c>
      <c r="W55" s="18"/>
      <c r="X55" s="18"/>
      <c r="Y55" s="18"/>
      <c r="Z55" s="17">
        <f t="shared" ref="Z55" si="19">SUM(Z54)</f>
        <v>2088.23</v>
      </c>
      <c r="AA55" s="17">
        <f>F55*1.025</f>
        <v>1717.9028700000001</v>
      </c>
      <c r="AB55" s="10"/>
      <c r="AC55" s="19">
        <f>AA55</f>
        <v>1717.9028700000001</v>
      </c>
      <c r="AD55" s="18">
        <v>5300</v>
      </c>
      <c r="AE55" s="17">
        <f>AD55-Z55</f>
        <v>3211.77</v>
      </c>
      <c r="AG55" s="17">
        <f t="shared" ref="AG55" si="20">SUM(AG54)</f>
        <v>1201.98</v>
      </c>
      <c r="AH55" s="17">
        <v>3500</v>
      </c>
      <c r="AI55" s="17">
        <f>AH55-AG55</f>
        <v>2298.02</v>
      </c>
      <c r="AK55" s="17">
        <v>3000</v>
      </c>
    </row>
    <row r="56" spans="1:37" x14ac:dyDescent="0.3">
      <c r="B56" s="20"/>
      <c r="C56" s="20"/>
      <c r="D56" s="20"/>
      <c r="E56" s="21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/>
      <c r="V56" s="14"/>
      <c r="W56" s="14"/>
      <c r="X56" s="14"/>
      <c r="Y56" s="14"/>
      <c r="Z56" s="2"/>
      <c r="AA56" s="2"/>
      <c r="AB56" s="10"/>
      <c r="AC56" s="15"/>
      <c r="AD56" s="14"/>
      <c r="AG56" s="2"/>
    </row>
    <row r="57" spans="1:37" s="16" customFormat="1" ht="15" thickBot="1" x14ac:dyDescent="0.35">
      <c r="A57" s="16" t="s">
        <v>56</v>
      </c>
      <c r="B57" s="23">
        <f>B55+B51+B48+B38+B33</f>
        <v>44949.880000000005</v>
      </c>
      <c r="C57" s="23">
        <f>C55+C51+C48+C38+C33</f>
        <v>47653</v>
      </c>
      <c r="D57" s="27"/>
      <c r="E57" s="24">
        <f>E55+E51+E48+E38+E33</f>
        <v>44211</v>
      </c>
      <c r="F57" s="23">
        <f>B57*1.02</f>
        <v>45848.877600000007</v>
      </c>
      <c r="H57" s="23">
        <f t="shared" ref="H57:T57" si="21">H55+H51+H48+H38+H33</f>
        <v>1424</v>
      </c>
      <c r="I57" s="23">
        <f t="shared" si="21"/>
        <v>1775</v>
      </c>
      <c r="J57" s="23">
        <f t="shared" si="21"/>
        <v>957</v>
      </c>
      <c r="K57" s="23">
        <f t="shared" si="21"/>
        <v>3194</v>
      </c>
      <c r="L57" s="23">
        <f t="shared" si="21"/>
        <v>1617.42</v>
      </c>
      <c r="M57" s="23">
        <f t="shared" si="21"/>
        <v>1323</v>
      </c>
      <c r="N57" s="23">
        <f t="shared" si="21"/>
        <v>2939</v>
      </c>
      <c r="O57" s="23">
        <f t="shared" si="21"/>
        <v>9162</v>
      </c>
      <c r="P57" s="23">
        <f t="shared" si="21"/>
        <v>4671</v>
      </c>
      <c r="Q57" s="23">
        <f t="shared" si="21"/>
        <v>266</v>
      </c>
      <c r="R57" s="23">
        <f t="shared" si="21"/>
        <v>16897</v>
      </c>
      <c r="S57" s="23">
        <f t="shared" si="21"/>
        <v>3584</v>
      </c>
      <c r="T57" s="23">
        <f t="shared" si="21"/>
        <v>47809.42</v>
      </c>
      <c r="V57" s="24">
        <f>V55+V51+V48+V38+V33</f>
        <v>42452.808482000008</v>
      </c>
      <c r="W57" s="24"/>
      <c r="X57" s="24"/>
      <c r="Y57" s="24"/>
      <c r="Z57" s="23">
        <f t="shared" ref="Z57" si="22">Z55+Z51+Z48+Z38+Z33</f>
        <v>45184.570000000007</v>
      </c>
      <c r="AA57" s="23">
        <f>AA55+AA51+AA48+AA38+AA33</f>
        <v>46799.254440000004</v>
      </c>
      <c r="AB57" s="28"/>
      <c r="AC57" s="23">
        <f>AC55+AC51+AC48+AC38+AC33</f>
        <v>48691.254440000004</v>
      </c>
      <c r="AD57" s="24">
        <f>AD55+AD51+AD48+AD38+AD33</f>
        <v>50710</v>
      </c>
      <c r="AE57" s="23">
        <f>AD57-Z57</f>
        <v>5525.429999999993</v>
      </c>
      <c r="AG57" s="23">
        <f t="shared" ref="AG57:AH57" si="23">AG55+AG51+AG48+AG38+AG33</f>
        <v>45705.3</v>
      </c>
      <c r="AH57" s="23">
        <f t="shared" si="23"/>
        <v>45660</v>
      </c>
      <c r="AI57" s="25">
        <f>AH57-AG57</f>
        <v>-45.30000000000291</v>
      </c>
      <c r="AK57" s="24">
        <f>AK55+AK51+AK48+AK38+AK33</f>
        <v>52326</v>
      </c>
    </row>
    <row r="58" spans="1:37" s="16" customFormat="1" ht="15" thickTop="1" x14ac:dyDescent="0.3">
      <c r="B58" s="29"/>
      <c r="C58" s="27"/>
      <c r="D58" s="27"/>
      <c r="E58" s="30"/>
      <c r="F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V58" s="31"/>
      <c r="W58" s="31"/>
      <c r="X58" s="31"/>
      <c r="Y58" s="31"/>
      <c r="Z58" s="27"/>
      <c r="AA58" s="27"/>
      <c r="AB58" s="28"/>
      <c r="AC58" s="32"/>
      <c r="AD58" s="31"/>
      <c r="AG58" s="27"/>
      <c r="AH58" s="27"/>
      <c r="AK58" s="27"/>
    </row>
    <row r="59" spans="1:37" s="16" customFormat="1" ht="15" thickBot="1" x14ac:dyDescent="0.35">
      <c r="A59" s="16" t="s">
        <v>57</v>
      </c>
      <c r="B59" s="23">
        <f>B29-B57</f>
        <v>1316.5</v>
      </c>
      <c r="C59" s="23">
        <f>C29-C57</f>
        <v>1887</v>
      </c>
      <c r="D59" s="27"/>
      <c r="E59" s="33">
        <f>E29-E57</f>
        <v>2874.5</v>
      </c>
      <c r="F59" s="23">
        <f>B59*1.02</f>
        <v>1342.83</v>
      </c>
      <c r="H59" s="23">
        <f t="shared" ref="H59:T59" si="24">H29-H57</f>
        <v>-60.089999999999918</v>
      </c>
      <c r="I59" s="23">
        <f t="shared" si="24"/>
        <v>-313.3900000000001</v>
      </c>
      <c r="J59" s="23">
        <f t="shared" si="24"/>
        <v>1057.06</v>
      </c>
      <c r="K59" s="23">
        <f t="shared" si="24"/>
        <v>-1780.32</v>
      </c>
      <c r="L59" s="23">
        <f t="shared" si="24"/>
        <v>397.08999999999992</v>
      </c>
      <c r="M59" s="23">
        <f t="shared" si="24"/>
        <v>90.849999999999909</v>
      </c>
      <c r="N59" s="23">
        <f t="shared" si="24"/>
        <v>-1074.23</v>
      </c>
      <c r="O59" s="23">
        <f t="shared" si="24"/>
        <v>-6999.6100000000006</v>
      </c>
      <c r="P59" s="23">
        <f t="shared" si="24"/>
        <v>-219</v>
      </c>
      <c r="Q59" s="23">
        <f t="shared" si="24"/>
        <v>4008</v>
      </c>
      <c r="R59" s="23">
        <f t="shared" si="24"/>
        <v>7179</v>
      </c>
      <c r="S59" s="23">
        <f t="shared" si="24"/>
        <v>999</v>
      </c>
      <c r="T59" s="23">
        <f t="shared" si="24"/>
        <v>3284.3600000000006</v>
      </c>
      <c r="V59" s="24">
        <f>V29-V57</f>
        <v>1317.1915179999924</v>
      </c>
      <c r="W59" s="24"/>
      <c r="X59" s="24"/>
      <c r="Y59" s="24"/>
      <c r="Z59" s="23">
        <f t="shared" ref="Z59" si="25">Z29-Z57</f>
        <v>7405.9699999999866</v>
      </c>
      <c r="AA59" s="23">
        <f>AA29-AA57</f>
        <v>1443.1366172631533</v>
      </c>
      <c r="AB59" s="28"/>
      <c r="AC59" s="23">
        <f>AC29-AC57</f>
        <v>963.50015147367958</v>
      </c>
      <c r="AD59" s="24">
        <f>AD29-AD57</f>
        <v>-1565</v>
      </c>
      <c r="AE59" s="23">
        <f>Z59-AD59</f>
        <v>8970.9699999999866</v>
      </c>
      <c r="AF59" s="27"/>
      <c r="AG59" s="23">
        <f t="shared" ref="AG59:AH59" si="26">AG29-AG57</f>
        <v>3031.989999999998</v>
      </c>
      <c r="AH59" s="23">
        <f t="shared" si="26"/>
        <v>590</v>
      </c>
      <c r="AI59" s="25">
        <f>AG59-AH59</f>
        <v>2441.989999999998</v>
      </c>
      <c r="AK59" s="23">
        <f t="shared" ref="AK59" si="27">AK29-AK57</f>
        <v>-916</v>
      </c>
    </row>
    <row r="60" spans="1:37" s="16" customFormat="1" ht="15" thickTop="1" x14ac:dyDescent="0.3">
      <c r="B60" s="34"/>
      <c r="C60" s="34"/>
      <c r="D60" s="27"/>
      <c r="E60" s="35"/>
      <c r="F60" s="34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V60" s="35"/>
      <c r="W60" s="35"/>
      <c r="X60" s="35"/>
      <c r="Y60" s="35"/>
      <c r="Z60" s="27"/>
      <c r="AA60" s="34"/>
      <c r="AB60" s="28"/>
      <c r="AC60" s="34"/>
      <c r="AD60" s="35"/>
      <c r="AG60" s="27"/>
      <c r="AH60" s="27"/>
      <c r="AK60" s="27"/>
    </row>
    <row r="61" spans="1:37" s="28" customFormat="1" x14ac:dyDescent="0.3">
      <c r="A61" s="28" t="s">
        <v>58</v>
      </c>
      <c r="B61" s="35">
        <v>1892</v>
      </c>
      <c r="C61" s="35"/>
      <c r="D61" s="31"/>
      <c r="E61" s="33">
        <f>445.5+445.5+460.5+475.5</f>
        <v>1827</v>
      </c>
      <c r="F61" s="35"/>
      <c r="H61" s="33"/>
      <c r="I61" s="33"/>
      <c r="J61" s="33">
        <v>446</v>
      </c>
      <c r="K61" s="33"/>
      <c r="L61" s="33"/>
      <c r="M61" s="33">
        <v>446</v>
      </c>
      <c r="N61" s="33"/>
      <c r="O61" s="33"/>
      <c r="P61" s="33">
        <v>446</v>
      </c>
      <c r="Q61" s="33"/>
      <c r="R61" s="33"/>
      <c r="S61" s="33">
        <v>566</v>
      </c>
      <c r="T61" s="33">
        <f>SUM(H61:S61)</f>
        <v>1904</v>
      </c>
      <c r="V61" s="33">
        <v>1850</v>
      </c>
      <c r="W61" s="33"/>
      <c r="X61" s="33"/>
      <c r="Y61" s="33"/>
      <c r="Z61" s="33">
        <v>1922</v>
      </c>
      <c r="AA61" s="33">
        <v>1850</v>
      </c>
      <c r="AC61" s="33">
        <v>1850</v>
      </c>
      <c r="AD61" s="33">
        <f>446*4</f>
        <v>1784</v>
      </c>
      <c r="AE61" s="33">
        <f>AD61-Z61</f>
        <v>-138</v>
      </c>
      <c r="AG61" s="33">
        <f>394.5+511.5</f>
        <v>906</v>
      </c>
      <c r="AH61" s="33">
        <v>1800</v>
      </c>
      <c r="AI61" s="25">
        <f>AH61-AG61</f>
        <v>894</v>
      </c>
      <c r="AK61" s="33">
        <v>2100</v>
      </c>
    </row>
    <row r="62" spans="1:37" s="16" customFormat="1" x14ac:dyDescent="0.3">
      <c r="B62" s="34"/>
      <c r="C62" s="34"/>
      <c r="D62" s="27"/>
      <c r="E62" s="35"/>
      <c r="F62" s="34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V62" s="35"/>
      <c r="W62" s="35"/>
      <c r="X62" s="35"/>
      <c r="Y62" s="35"/>
      <c r="Z62" s="27"/>
      <c r="AA62" s="34"/>
      <c r="AB62" s="28"/>
      <c r="AC62" s="34"/>
      <c r="AD62" s="35"/>
      <c r="AG62" s="27"/>
      <c r="AH62" s="27"/>
      <c r="AK62" s="27"/>
    </row>
    <row r="63" spans="1:37" s="16" customFormat="1" ht="15" thickBot="1" x14ac:dyDescent="0.35">
      <c r="A63" s="16" t="s">
        <v>59</v>
      </c>
      <c r="B63" s="24">
        <f>B59-B61</f>
        <v>-575.5</v>
      </c>
      <c r="C63" s="34"/>
      <c r="D63" s="27"/>
      <c r="E63" s="24">
        <f>E59-E61</f>
        <v>1047.5</v>
      </c>
      <c r="F63" s="34"/>
      <c r="H63" s="24">
        <f t="shared" ref="H63:T63" si="28">H59-H61</f>
        <v>-60.089999999999918</v>
      </c>
      <c r="I63" s="24">
        <f t="shared" si="28"/>
        <v>-313.3900000000001</v>
      </c>
      <c r="J63" s="24">
        <f t="shared" si="28"/>
        <v>611.05999999999995</v>
      </c>
      <c r="K63" s="24">
        <f t="shared" si="28"/>
        <v>-1780.32</v>
      </c>
      <c r="L63" s="24">
        <f t="shared" si="28"/>
        <v>397.08999999999992</v>
      </c>
      <c r="M63" s="24">
        <f t="shared" si="28"/>
        <v>-355.15000000000009</v>
      </c>
      <c r="N63" s="24">
        <f t="shared" si="28"/>
        <v>-1074.23</v>
      </c>
      <c r="O63" s="24">
        <f t="shared" si="28"/>
        <v>-6999.6100000000006</v>
      </c>
      <c r="P63" s="24">
        <f t="shared" si="28"/>
        <v>-665</v>
      </c>
      <c r="Q63" s="24">
        <f t="shared" si="28"/>
        <v>4008</v>
      </c>
      <c r="R63" s="24">
        <f t="shared" si="28"/>
        <v>7179</v>
      </c>
      <c r="S63" s="24">
        <f t="shared" si="28"/>
        <v>433</v>
      </c>
      <c r="T63" s="24">
        <f t="shared" si="28"/>
        <v>1380.3600000000006</v>
      </c>
      <c r="V63" s="24">
        <f>V59-V61</f>
        <v>-532.80848200000764</v>
      </c>
      <c r="W63" s="24"/>
      <c r="X63" s="24"/>
      <c r="Y63" s="24"/>
      <c r="Z63" s="24">
        <f t="shared" ref="Z63" si="29">Z59-Z61</f>
        <v>5483.9699999999866</v>
      </c>
      <c r="AA63" s="24">
        <f>AA59-AA61</f>
        <v>-406.86338273684669</v>
      </c>
      <c r="AB63" s="28"/>
      <c r="AC63" s="24">
        <f>AC59-AC61</f>
        <v>-886.49984852632042</v>
      </c>
      <c r="AD63" s="24">
        <f>AD59-AD61</f>
        <v>-3349</v>
      </c>
      <c r="AE63" s="23">
        <f>Z63-AD63</f>
        <v>8832.9699999999866</v>
      </c>
      <c r="AG63" s="24">
        <f t="shared" ref="AG63:AH63" si="30">AG59-AG61</f>
        <v>2125.989999999998</v>
      </c>
      <c r="AH63" s="24">
        <f t="shared" si="30"/>
        <v>-1210</v>
      </c>
      <c r="AI63" s="25">
        <f>AG63-AH63</f>
        <v>3335.989999999998</v>
      </c>
      <c r="AK63" s="24">
        <f t="shared" ref="AK63" si="31">AK59-AK61</f>
        <v>-3016</v>
      </c>
    </row>
    <row r="64" spans="1:37" ht="15" thickTop="1" x14ac:dyDescent="0.3"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/>
      <c r="V64" s="14"/>
      <c r="W64" s="14"/>
      <c r="X64" s="14"/>
      <c r="Y64" s="14"/>
      <c r="Z64" s="2"/>
      <c r="AA64" s="2"/>
      <c r="AB64" s="10"/>
      <c r="AC64" s="15"/>
      <c r="AD64" s="14"/>
    </row>
    <row r="65" spans="1:37" x14ac:dyDescent="0.3">
      <c r="A65" s="13" t="s">
        <v>27</v>
      </c>
      <c r="B65" s="2"/>
      <c r="C65" s="2"/>
      <c r="D65" s="2"/>
      <c r="E65" s="14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/>
      <c r="V65" s="14"/>
      <c r="W65" s="14"/>
      <c r="X65" s="14"/>
      <c r="Y65" s="14"/>
      <c r="Z65" s="2"/>
      <c r="AA65" s="2"/>
      <c r="AB65" s="10"/>
      <c r="AC65" s="15"/>
      <c r="AD65" s="14"/>
    </row>
    <row r="66" spans="1:37" x14ac:dyDescent="0.3">
      <c r="A66" t="s">
        <v>60</v>
      </c>
      <c r="B66" s="2">
        <f>B22</f>
        <v>23904.38</v>
      </c>
      <c r="C66" s="2">
        <f>C22</f>
        <v>28000</v>
      </c>
      <c r="D66" s="2"/>
      <c r="E66" s="14">
        <f>E22</f>
        <v>25276.109999999997</v>
      </c>
      <c r="F66" s="2">
        <f>F22</f>
        <v>24382.4676</v>
      </c>
      <c r="G66" s="2"/>
      <c r="H66" s="2">
        <f>H22</f>
        <v>0</v>
      </c>
      <c r="I66" s="2">
        <f t="shared" ref="I66:T66" si="32">I22</f>
        <v>0</v>
      </c>
      <c r="J66" s="2">
        <f t="shared" si="32"/>
        <v>0</v>
      </c>
      <c r="K66" s="2">
        <f t="shared" si="32"/>
        <v>0</v>
      </c>
      <c r="L66" s="2">
        <f t="shared" si="32"/>
        <v>0</v>
      </c>
      <c r="M66" s="2">
        <f t="shared" si="32"/>
        <v>0</v>
      </c>
      <c r="N66" s="2">
        <f t="shared" si="32"/>
        <v>0</v>
      </c>
      <c r="O66" s="2">
        <f t="shared" si="32"/>
        <v>0</v>
      </c>
      <c r="P66" s="2">
        <f t="shared" si="32"/>
        <v>1353</v>
      </c>
      <c r="Q66" s="2">
        <f t="shared" si="32"/>
        <v>2382</v>
      </c>
      <c r="R66" s="2">
        <f t="shared" si="32"/>
        <v>21738</v>
      </c>
      <c r="S66" s="2">
        <f t="shared" si="32"/>
        <v>1797</v>
      </c>
      <c r="T66" s="2">
        <f t="shared" si="32"/>
        <v>27270</v>
      </c>
      <c r="U66"/>
      <c r="V66" s="14">
        <f>V22</f>
        <v>21000</v>
      </c>
      <c r="W66" s="14"/>
      <c r="X66" s="14"/>
      <c r="Y66" s="14"/>
      <c r="Z66" s="2">
        <f t="shared" ref="Z66" si="33">Z22</f>
        <v>27855.289999999997</v>
      </c>
      <c r="AA66" s="2">
        <f>AA22</f>
        <v>24870.116952</v>
      </c>
      <c r="AC66" s="2">
        <f>AC22</f>
        <v>24870.116952</v>
      </c>
      <c r="AD66" s="14"/>
      <c r="AG66" s="2">
        <f t="shared" ref="AG66:AH66" si="34">AG22</f>
        <v>27955.8</v>
      </c>
      <c r="AH66" s="2">
        <f t="shared" si="34"/>
        <v>26500</v>
      </c>
      <c r="AK66" s="2">
        <f t="shared" ref="AK66" si="35">AK22</f>
        <v>27000</v>
      </c>
    </row>
    <row r="67" spans="1:37" x14ac:dyDescent="0.3">
      <c r="A67" t="s">
        <v>61</v>
      </c>
      <c r="B67" s="2">
        <f>B33</f>
        <v>23649</v>
      </c>
      <c r="C67" s="2">
        <f>C33</f>
        <v>26000</v>
      </c>
      <c r="D67" s="2"/>
      <c r="E67" s="14">
        <f>E33</f>
        <v>25284</v>
      </c>
      <c r="F67" s="2">
        <f>F33</f>
        <v>24121.98</v>
      </c>
      <c r="G67" s="2"/>
      <c r="H67" s="2">
        <f t="shared" ref="H67:T67" si="36">H33</f>
        <v>0</v>
      </c>
      <c r="I67" s="2">
        <f t="shared" si="36"/>
        <v>0</v>
      </c>
      <c r="J67" s="2">
        <f t="shared" si="36"/>
        <v>957</v>
      </c>
      <c r="K67" s="2">
        <f t="shared" si="36"/>
        <v>0</v>
      </c>
      <c r="L67" s="2">
        <f t="shared" si="36"/>
        <v>0</v>
      </c>
      <c r="M67" s="2">
        <f t="shared" si="36"/>
        <v>0</v>
      </c>
      <c r="N67" s="2">
        <f t="shared" si="36"/>
        <v>0</v>
      </c>
      <c r="O67" s="2">
        <f t="shared" si="36"/>
        <v>7540</v>
      </c>
      <c r="P67" s="2">
        <f t="shared" si="36"/>
        <v>45</v>
      </c>
      <c r="Q67" s="2">
        <f t="shared" si="36"/>
        <v>171</v>
      </c>
      <c r="R67" s="2">
        <f t="shared" si="36"/>
        <v>12714</v>
      </c>
      <c r="S67" s="2">
        <f t="shared" si="36"/>
        <v>2613</v>
      </c>
      <c r="T67" s="2">
        <f t="shared" si="36"/>
        <v>24040</v>
      </c>
      <c r="U67"/>
      <c r="V67" s="14">
        <f>V33</f>
        <v>19000</v>
      </c>
      <c r="W67" s="14"/>
      <c r="X67" s="14"/>
      <c r="Y67" s="14"/>
      <c r="Z67" s="2">
        <f t="shared" ref="Z67" si="37">Z33</f>
        <v>22213.74</v>
      </c>
      <c r="AA67" s="2">
        <f>AA33</f>
        <v>24604.419600000001</v>
      </c>
      <c r="AC67" s="2">
        <f>AC33</f>
        <v>24604.419600000001</v>
      </c>
      <c r="AD67" s="14"/>
      <c r="AG67" s="2">
        <f t="shared" ref="AG67:AH67" si="38">AG33</f>
        <v>26370</v>
      </c>
      <c r="AH67" s="2">
        <f t="shared" si="38"/>
        <v>22500</v>
      </c>
      <c r="AK67" s="2">
        <f t="shared" ref="AK67" si="39">AK33</f>
        <v>26000</v>
      </c>
    </row>
    <row r="68" spans="1:37" x14ac:dyDescent="0.3">
      <c r="A68" t="s">
        <v>62</v>
      </c>
      <c r="B68" s="2"/>
      <c r="C68" s="2"/>
      <c r="D68" s="2"/>
      <c r="E68" s="14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/>
      <c r="V68" s="14"/>
      <c r="W68" s="14"/>
      <c r="X68" s="14"/>
      <c r="Y68" s="14"/>
      <c r="Z68" s="2">
        <v>1419</v>
      </c>
      <c r="AA68" s="2"/>
      <c r="AC68" s="2"/>
      <c r="AD68" s="14"/>
      <c r="AG68" s="2"/>
      <c r="AH68" s="2">
        <v>0</v>
      </c>
      <c r="AK68" s="2">
        <v>0</v>
      </c>
    </row>
    <row r="69" spans="1:37" x14ac:dyDescent="0.3">
      <c r="A69" t="s">
        <v>63</v>
      </c>
      <c r="B69" s="17">
        <f>B66-B67</f>
        <v>255.38000000000102</v>
      </c>
      <c r="C69" s="17">
        <f>C66-C67</f>
        <v>2000</v>
      </c>
      <c r="D69" s="2"/>
      <c r="E69" s="18">
        <f t="shared" ref="E69:F69" si="40">E66-E67</f>
        <v>-7.8900000000030559</v>
      </c>
      <c r="F69" s="17">
        <f t="shared" si="40"/>
        <v>260.48760000000038</v>
      </c>
      <c r="G69" s="2"/>
      <c r="H69" s="17">
        <f>H66-H67</f>
        <v>0</v>
      </c>
      <c r="I69" s="17">
        <f t="shared" ref="I69:T69" si="41">I66-I67</f>
        <v>0</v>
      </c>
      <c r="J69" s="17">
        <f t="shared" si="41"/>
        <v>-957</v>
      </c>
      <c r="K69" s="17">
        <f t="shared" si="41"/>
        <v>0</v>
      </c>
      <c r="L69" s="17">
        <f t="shared" si="41"/>
        <v>0</v>
      </c>
      <c r="M69" s="17">
        <f t="shared" si="41"/>
        <v>0</v>
      </c>
      <c r="N69" s="17">
        <f t="shared" si="41"/>
        <v>0</v>
      </c>
      <c r="O69" s="17">
        <f t="shared" si="41"/>
        <v>-7540</v>
      </c>
      <c r="P69" s="17">
        <f t="shared" si="41"/>
        <v>1308</v>
      </c>
      <c r="Q69" s="17">
        <f t="shared" si="41"/>
        <v>2211</v>
      </c>
      <c r="R69" s="17">
        <f t="shared" si="41"/>
        <v>9024</v>
      </c>
      <c r="S69" s="17">
        <f t="shared" si="41"/>
        <v>-816</v>
      </c>
      <c r="T69" s="17">
        <f t="shared" si="41"/>
        <v>3230</v>
      </c>
      <c r="U69"/>
      <c r="V69" s="18">
        <f>V66-V67</f>
        <v>2000</v>
      </c>
      <c r="W69" s="18"/>
      <c r="X69" s="18"/>
      <c r="Y69" s="18"/>
      <c r="Z69" s="17">
        <f>Z66-Z67-Z68</f>
        <v>4222.5499999999956</v>
      </c>
      <c r="AA69" s="17">
        <f>AA66-AA67</f>
        <v>265.69735199999923</v>
      </c>
      <c r="AC69" s="17">
        <f>AC66-AC67</f>
        <v>265.69735199999923</v>
      </c>
      <c r="AD69" s="18"/>
      <c r="AG69" s="17">
        <f>AG66-AG67-AG68</f>
        <v>1585.7999999999993</v>
      </c>
      <c r="AH69" s="17">
        <f>AH66-AH67-AH68</f>
        <v>4000</v>
      </c>
      <c r="AK69" s="17">
        <f>AK66-AK67-AK68</f>
        <v>1000</v>
      </c>
    </row>
    <row r="70" spans="1:37" x14ac:dyDescent="0.3">
      <c r="B70" s="2"/>
      <c r="C70" s="2"/>
      <c r="D70" s="2"/>
      <c r="E70" s="14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/>
      <c r="V70" s="14"/>
      <c r="W70" s="14"/>
      <c r="X70" s="14"/>
      <c r="Y70" s="14"/>
      <c r="Z70" s="2"/>
      <c r="AA70" s="2"/>
      <c r="AC70" s="2"/>
      <c r="AD70" s="14"/>
    </row>
    <row r="71" spans="1:37" x14ac:dyDescent="0.3">
      <c r="A71" s="13" t="s">
        <v>64</v>
      </c>
      <c r="B71" s="2"/>
      <c r="C71" s="2"/>
      <c r="D71" s="2"/>
      <c r="E71" s="14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/>
      <c r="V71" s="14"/>
      <c r="W71" s="14"/>
      <c r="X71" s="14"/>
      <c r="Y71" s="14"/>
      <c r="Z71" s="2"/>
      <c r="AA71" s="2"/>
      <c r="AC71" s="2"/>
      <c r="AD71" s="14"/>
    </row>
    <row r="72" spans="1:37" x14ac:dyDescent="0.3">
      <c r="A72" t="s">
        <v>60</v>
      </c>
      <c r="B72" s="2">
        <f>B25</f>
        <v>3295</v>
      </c>
      <c r="C72" s="2">
        <f>C25</f>
        <v>2500</v>
      </c>
      <c r="D72" s="2"/>
      <c r="E72" s="14">
        <f>E25</f>
        <v>3316.15</v>
      </c>
      <c r="F72" s="2">
        <f>F25</f>
        <v>3361</v>
      </c>
      <c r="G72" s="2"/>
      <c r="H72" s="2">
        <f>H25</f>
        <v>0</v>
      </c>
      <c r="I72" s="2">
        <f t="shared" ref="I72:T72" si="42">I25</f>
        <v>0</v>
      </c>
      <c r="J72" s="2">
        <f t="shared" si="42"/>
        <v>0</v>
      </c>
      <c r="K72" s="2">
        <f t="shared" si="42"/>
        <v>0</v>
      </c>
      <c r="L72" s="2">
        <f t="shared" si="42"/>
        <v>0</v>
      </c>
      <c r="M72" s="2">
        <f t="shared" si="42"/>
        <v>0</v>
      </c>
      <c r="N72" s="2">
        <f t="shared" si="42"/>
        <v>450</v>
      </c>
      <c r="O72" s="2">
        <f t="shared" si="42"/>
        <v>750</v>
      </c>
      <c r="P72" s="2">
        <f t="shared" si="42"/>
        <v>1088</v>
      </c>
      <c r="Q72" s="2">
        <f t="shared" si="42"/>
        <v>480</v>
      </c>
      <c r="R72" s="2">
        <f t="shared" si="42"/>
        <v>324</v>
      </c>
      <c r="S72" s="2">
        <f t="shared" si="42"/>
        <v>170</v>
      </c>
      <c r="T72" s="2">
        <f t="shared" si="42"/>
        <v>3262</v>
      </c>
      <c r="U72"/>
      <c r="V72" s="14">
        <f>V25</f>
        <v>3000</v>
      </c>
      <c r="W72" s="14"/>
      <c r="X72" s="14"/>
      <c r="Y72" s="14"/>
      <c r="Z72" s="2">
        <f t="shared" ref="Z72" si="43">Z25</f>
        <v>1940.7</v>
      </c>
      <c r="AA72" s="2">
        <f>AA25</f>
        <v>3428.2200000000003</v>
      </c>
      <c r="AC72" s="2">
        <f>AC25</f>
        <v>3428.2200000000003</v>
      </c>
      <c r="AD72" s="14"/>
      <c r="AG72" s="2">
        <f t="shared" ref="AG72:AH72" si="44">AG25</f>
        <v>0</v>
      </c>
      <c r="AH72" s="2">
        <f t="shared" si="44"/>
        <v>0</v>
      </c>
      <c r="AK72" s="2">
        <f t="shared" ref="AK72" si="45">AK25</f>
        <v>3000</v>
      </c>
    </row>
    <row r="73" spans="1:37" x14ac:dyDescent="0.3">
      <c r="A73" t="s">
        <v>65</v>
      </c>
      <c r="B73" s="2">
        <f>B51</f>
        <v>3406</v>
      </c>
      <c r="C73" s="2">
        <f>C51</f>
        <v>2000</v>
      </c>
      <c r="D73" s="2"/>
      <c r="E73" s="14">
        <f>E51</f>
        <v>2348</v>
      </c>
      <c r="F73" s="2">
        <f>F51</f>
        <v>3474.12</v>
      </c>
      <c r="G73" s="2"/>
      <c r="H73" s="2">
        <f>H51</f>
        <v>0</v>
      </c>
      <c r="I73" s="2">
        <f t="shared" ref="I73:T73" si="46">I51</f>
        <v>0</v>
      </c>
      <c r="J73" s="2">
        <f t="shared" si="46"/>
        <v>0</v>
      </c>
      <c r="K73" s="2">
        <f t="shared" si="46"/>
        <v>0</v>
      </c>
      <c r="L73" s="2">
        <f t="shared" si="46"/>
        <v>0</v>
      </c>
      <c r="M73" s="2">
        <f t="shared" si="46"/>
        <v>0</v>
      </c>
      <c r="N73" s="2">
        <f t="shared" si="46"/>
        <v>0</v>
      </c>
      <c r="O73" s="2">
        <f t="shared" si="46"/>
        <v>0</v>
      </c>
      <c r="P73" s="2">
        <f t="shared" si="46"/>
        <v>3128</v>
      </c>
      <c r="Q73" s="2">
        <f t="shared" si="46"/>
        <v>0</v>
      </c>
      <c r="R73" s="2">
        <f t="shared" si="46"/>
        <v>0</v>
      </c>
      <c r="S73" s="2">
        <f t="shared" si="46"/>
        <v>0</v>
      </c>
      <c r="T73" s="2">
        <f t="shared" si="46"/>
        <v>3128</v>
      </c>
      <c r="U73"/>
      <c r="V73" s="14">
        <f>V51</f>
        <v>2500</v>
      </c>
      <c r="W73" s="14"/>
      <c r="X73" s="14"/>
      <c r="Y73" s="14"/>
      <c r="Z73" s="2">
        <f t="shared" ref="Z73" si="47">Z51</f>
        <v>2392</v>
      </c>
      <c r="AA73" s="2">
        <f>AA51</f>
        <v>3560.9729999999995</v>
      </c>
      <c r="AC73" s="2">
        <f>AC51</f>
        <v>3560.9729999999995</v>
      </c>
      <c r="AD73" s="14"/>
      <c r="AG73" s="2">
        <f t="shared" ref="AG73:AH73" si="48">AG51</f>
        <v>0</v>
      </c>
      <c r="AH73" s="2">
        <f t="shared" si="48"/>
        <v>0</v>
      </c>
      <c r="AK73" s="2">
        <f t="shared" ref="AK73" si="49">AK51</f>
        <v>3000</v>
      </c>
    </row>
    <row r="74" spans="1:37" x14ac:dyDescent="0.3">
      <c r="A74" t="s">
        <v>63</v>
      </c>
      <c r="B74" s="17">
        <f>B72-B73</f>
        <v>-111</v>
      </c>
      <c r="C74" s="17">
        <f>C72-C73</f>
        <v>500</v>
      </c>
      <c r="D74" s="2"/>
      <c r="E74" s="18">
        <f>E72-E73</f>
        <v>968.15000000000009</v>
      </c>
      <c r="F74" s="17">
        <f>F72-F73</f>
        <v>-113.11999999999989</v>
      </c>
      <c r="G74" s="2"/>
      <c r="H74" s="17">
        <f>H72-H73</f>
        <v>0</v>
      </c>
      <c r="I74" s="17">
        <f t="shared" ref="I74:T74" si="50">I72-I73</f>
        <v>0</v>
      </c>
      <c r="J74" s="17">
        <f t="shared" si="50"/>
        <v>0</v>
      </c>
      <c r="K74" s="17">
        <f t="shared" si="50"/>
        <v>0</v>
      </c>
      <c r="L74" s="17">
        <f t="shared" si="50"/>
        <v>0</v>
      </c>
      <c r="M74" s="17">
        <f t="shared" si="50"/>
        <v>0</v>
      </c>
      <c r="N74" s="17">
        <f t="shared" si="50"/>
        <v>450</v>
      </c>
      <c r="O74" s="17">
        <f t="shared" si="50"/>
        <v>750</v>
      </c>
      <c r="P74" s="17">
        <f t="shared" si="50"/>
        <v>-2040</v>
      </c>
      <c r="Q74" s="17">
        <f t="shared" si="50"/>
        <v>480</v>
      </c>
      <c r="R74" s="17">
        <f t="shared" si="50"/>
        <v>324</v>
      </c>
      <c r="S74" s="17">
        <f t="shared" si="50"/>
        <v>170</v>
      </c>
      <c r="T74" s="17">
        <f t="shared" si="50"/>
        <v>134</v>
      </c>
      <c r="U74"/>
      <c r="V74" s="18">
        <f>V72-V73</f>
        <v>500</v>
      </c>
      <c r="W74" s="18"/>
      <c r="X74" s="18"/>
      <c r="Y74" s="18"/>
      <c r="Z74" s="17">
        <f t="shared" ref="Z74" si="51">Z72-Z73</f>
        <v>-451.29999999999995</v>
      </c>
      <c r="AA74" s="17">
        <f>AA72-AA73</f>
        <v>-132.75299999999925</v>
      </c>
      <c r="AC74" s="17">
        <f>AC72-AC73</f>
        <v>-132.75299999999925</v>
      </c>
      <c r="AD74" s="18"/>
      <c r="AG74" s="17">
        <f t="shared" ref="AG74:AH74" si="52">AG72-AG73</f>
        <v>0</v>
      </c>
      <c r="AH74" s="17">
        <f t="shared" si="52"/>
        <v>0</v>
      </c>
      <c r="AK74" s="17">
        <f t="shared" ref="AK74" si="53">AK72-AK73</f>
        <v>0</v>
      </c>
    </row>
    <row r="75" spans="1:37" x14ac:dyDescent="0.3">
      <c r="B75" s="2"/>
      <c r="C75" s="2"/>
      <c r="D75" s="2"/>
      <c r="E75" s="14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/>
      <c r="V75" s="14"/>
      <c r="W75" s="14"/>
      <c r="X75" s="14"/>
      <c r="Y75" s="14"/>
      <c r="Z75" s="2"/>
      <c r="AA75" s="2"/>
      <c r="AC75" s="2"/>
      <c r="AD75" s="14"/>
      <c r="AG75" t="s">
        <v>66</v>
      </c>
    </row>
    <row r="76" spans="1:37" s="10" customFormat="1" x14ac:dyDescent="0.3">
      <c r="A76" s="10" t="s">
        <v>67</v>
      </c>
      <c r="B76" s="14">
        <v>4904</v>
      </c>
      <c r="C76" s="14"/>
      <c r="D76" s="14"/>
      <c r="E76" s="14">
        <v>1992</v>
      </c>
      <c r="F76" s="14"/>
      <c r="G76" s="14"/>
      <c r="H76" s="14"/>
      <c r="I76" s="14"/>
      <c r="J76" s="21"/>
      <c r="K76" s="14"/>
      <c r="L76" s="14"/>
      <c r="M76" s="21"/>
      <c r="N76" s="21"/>
      <c r="O76" s="21"/>
      <c r="P76" s="14">
        <v>2117</v>
      </c>
      <c r="Q76" s="14"/>
      <c r="R76" s="14">
        <v>2333</v>
      </c>
      <c r="S76" s="14"/>
      <c r="T76" s="14">
        <v>2287</v>
      </c>
      <c r="V76" s="14"/>
      <c r="W76" s="14"/>
      <c r="X76" s="14"/>
      <c r="Y76" s="14"/>
      <c r="Z76" s="14">
        <v>2291.17</v>
      </c>
      <c r="AA76" s="14"/>
      <c r="AB76" s="14"/>
      <c r="AC76" s="14"/>
      <c r="AD76" s="14"/>
      <c r="AG76" s="14">
        <v>3886</v>
      </c>
      <c r="AH76" s="14"/>
      <c r="AK76" s="14"/>
    </row>
    <row r="77" spans="1:37" x14ac:dyDescent="0.3">
      <c r="A77" s="10" t="s">
        <v>68</v>
      </c>
      <c r="B77" s="14">
        <v>13421</v>
      </c>
      <c r="C77" s="14"/>
      <c r="D77" s="14"/>
      <c r="E77" s="14">
        <v>1725</v>
      </c>
      <c r="G77" s="2"/>
      <c r="H77" s="2"/>
      <c r="I77" s="2"/>
      <c r="J77" s="21"/>
      <c r="K77" s="2"/>
      <c r="L77" s="2"/>
      <c r="M77" s="21"/>
      <c r="N77" s="21"/>
      <c r="O77" s="21"/>
      <c r="P77" s="14">
        <v>3308</v>
      </c>
      <c r="Q77" s="14"/>
      <c r="R77" s="14">
        <v>3572</v>
      </c>
      <c r="S77" s="14"/>
      <c r="T77" s="2">
        <v>2926</v>
      </c>
      <c r="U77"/>
      <c r="V77" s="14"/>
      <c r="W77" s="14"/>
      <c r="X77" s="14"/>
      <c r="Y77" s="14"/>
      <c r="Z77" s="2">
        <v>1851.44</v>
      </c>
      <c r="AA77" s="2"/>
      <c r="AC77" s="2"/>
      <c r="AD77" s="14"/>
      <c r="AG77" s="2">
        <v>212</v>
      </c>
    </row>
    <row r="78" spans="1:37" x14ac:dyDescent="0.3">
      <c r="A78" s="10" t="s">
        <v>69</v>
      </c>
      <c r="B78" s="14">
        <v>8016</v>
      </c>
      <c r="C78" s="14"/>
      <c r="D78" s="14"/>
      <c r="E78" s="14">
        <v>20576</v>
      </c>
      <c r="H78" s="2"/>
      <c r="I78" s="2"/>
      <c r="J78" s="21"/>
      <c r="K78" s="2"/>
      <c r="L78" s="2"/>
      <c r="M78" s="21"/>
      <c r="N78" s="21"/>
      <c r="O78" s="21"/>
      <c r="P78" s="14">
        <v>11710</v>
      </c>
      <c r="Q78" s="14"/>
      <c r="R78" s="14">
        <v>20250</v>
      </c>
      <c r="S78" s="14"/>
      <c r="T78" s="2">
        <v>20256</v>
      </c>
      <c r="U78"/>
      <c r="V78" s="14"/>
      <c r="W78" s="14"/>
      <c r="X78" s="14"/>
      <c r="Y78" s="14"/>
      <c r="Z78" s="2">
        <v>26324.11</v>
      </c>
      <c r="AA78" s="2"/>
      <c r="AB78" s="10"/>
      <c r="AC78" s="15"/>
      <c r="AD78" s="14"/>
      <c r="AG78" s="2">
        <v>27977</v>
      </c>
    </row>
    <row r="79" spans="1:37" x14ac:dyDescent="0.3">
      <c r="A79" s="10" t="s">
        <v>70</v>
      </c>
      <c r="B79" s="36">
        <f>SUM(B76:B78)</f>
        <v>26341</v>
      </c>
      <c r="C79" s="10"/>
      <c r="D79" s="10"/>
      <c r="E79" s="36">
        <f>SUM(E76:E78)</f>
        <v>24293</v>
      </c>
      <c r="H79" s="2"/>
      <c r="I79" s="2"/>
      <c r="J79" s="21"/>
      <c r="K79" s="2"/>
      <c r="L79" s="2"/>
      <c r="M79" s="21"/>
      <c r="N79" s="21"/>
      <c r="O79" s="21"/>
      <c r="P79" s="36">
        <f>SUM(P76:P78)</f>
        <v>17135</v>
      </c>
      <c r="Q79" s="21"/>
      <c r="R79" s="36">
        <f>SUM(R76:R78)</f>
        <v>26155</v>
      </c>
      <c r="S79" s="21"/>
      <c r="T79" s="36">
        <f>SUM(T76:T78)</f>
        <v>25469</v>
      </c>
      <c r="U79"/>
      <c r="V79" s="14"/>
      <c r="W79" s="14"/>
      <c r="X79" s="14"/>
      <c r="Y79" s="14"/>
      <c r="Z79" s="36">
        <f>SUM(Z76:Z78)</f>
        <v>30466.720000000001</v>
      </c>
      <c r="AA79" s="2"/>
      <c r="AB79" s="10"/>
      <c r="AC79" s="15"/>
      <c r="AD79" s="14"/>
      <c r="AG79" s="36">
        <f>SUM(AG76:AG78)</f>
        <v>32075</v>
      </c>
    </row>
    <row r="80" spans="1:37" x14ac:dyDescent="0.3">
      <c r="A80" s="10" t="s">
        <v>71</v>
      </c>
      <c r="B80" s="14">
        <v>40382</v>
      </c>
      <c r="C80" s="14"/>
      <c r="D80" s="14"/>
      <c r="E80" s="14">
        <v>49570</v>
      </c>
      <c r="H80" s="2"/>
      <c r="I80" s="2"/>
      <c r="J80" s="21"/>
      <c r="K80" s="2"/>
      <c r="L80" s="2"/>
      <c r="M80" s="21"/>
      <c r="N80" s="21"/>
      <c r="O80" s="21"/>
      <c r="P80" s="14">
        <v>52997</v>
      </c>
      <c r="Q80" s="14"/>
      <c r="R80" s="14">
        <v>54696</v>
      </c>
      <c r="S80" s="14"/>
      <c r="T80" s="2">
        <v>56480</v>
      </c>
      <c r="U80"/>
      <c r="V80" s="14"/>
      <c r="W80" s="14"/>
      <c r="X80" s="14"/>
      <c r="Y80" s="14"/>
      <c r="Z80" s="2">
        <v>63438.39</v>
      </c>
      <c r="AA80" s="2"/>
      <c r="AB80" s="10"/>
      <c r="AC80" s="15"/>
      <c r="AD80" s="14"/>
      <c r="AG80" s="2">
        <v>70597</v>
      </c>
    </row>
    <row r="81" spans="1:33" ht="15" thickBot="1" x14ac:dyDescent="0.35">
      <c r="A81" s="10" t="s">
        <v>72</v>
      </c>
      <c r="B81" s="37">
        <f>SUM(B79:B80)</f>
        <v>66723</v>
      </c>
      <c r="C81" s="10"/>
      <c r="D81" s="10"/>
      <c r="E81" s="37">
        <f>SUM(E79:E80)</f>
        <v>73863</v>
      </c>
      <c r="H81" s="2"/>
      <c r="I81" s="2"/>
      <c r="J81" s="21"/>
      <c r="K81" s="2"/>
      <c r="L81" s="2"/>
      <c r="M81" s="21"/>
      <c r="N81" s="21"/>
      <c r="O81" s="21"/>
      <c r="P81" s="37">
        <f>SUM(P79:P80)</f>
        <v>70132</v>
      </c>
      <c r="Q81" s="21"/>
      <c r="R81" s="37">
        <f>SUM(R79:R80)</f>
        <v>80851</v>
      </c>
      <c r="S81" s="21"/>
      <c r="T81" s="37">
        <f>SUM(T79:T80)</f>
        <v>81949</v>
      </c>
      <c r="U81"/>
      <c r="V81" s="14"/>
      <c r="W81" s="14"/>
      <c r="X81" s="14"/>
      <c r="Y81" s="14"/>
      <c r="Z81" s="37">
        <f>SUM(Z79:Z80)</f>
        <v>93905.11</v>
      </c>
      <c r="AA81" s="2"/>
      <c r="AB81" s="10"/>
      <c r="AC81" s="15"/>
      <c r="AD81" s="14"/>
      <c r="AG81" s="37">
        <f>SUM(AG79:AG80)</f>
        <v>102672</v>
      </c>
    </row>
    <row r="82" spans="1:33" ht="15" thickTop="1" x14ac:dyDescent="0.3"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Z82" s="2"/>
    </row>
    <row r="83" spans="1:33" x14ac:dyDescent="0.3"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Z83" s="2"/>
    </row>
    <row r="84" spans="1:33" x14ac:dyDescent="0.3"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Z84" s="2"/>
    </row>
    <row r="85" spans="1:33" x14ac:dyDescent="0.3"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Z85" s="2"/>
    </row>
    <row r="86" spans="1:33" x14ac:dyDescent="0.3"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Z86" s="2"/>
    </row>
    <row r="87" spans="1:33" x14ac:dyDescent="0.3"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Z87" s="2"/>
    </row>
    <row r="88" spans="1:33" x14ac:dyDescent="0.3"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Z88" s="2"/>
    </row>
    <row r="89" spans="1:33" x14ac:dyDescent="0.3"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Z89" s="2"/>
    </row>
    <row r="90" spans="1:33" x14ac:dyDescent="0.3"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Z90" s="2"/>
    </row>
    <row r="91" spans="1:33" x14ac:dyDescent="0.3"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Z91" s="2"/>
    </row>
    <row r="92" spans="1:33" x14ac:dyDescent="0.3"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Z92" s="2"/>
    </row>
    <row r="93" spans="1:33" x14ac:dyDescent="0.3"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</row>
    <row r="94" spans="1:33" x14ac:dyDescent="0.3"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</row>
    <row r="95" spans="1:33" x14ac:dyDescent="0.3"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</row>
    <row r="96" spans="1:33" x14ac:dyDescent="0.3"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</row>
    <row r="97" spans="8:20" x14ac:dyDescent="0.3"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</row>
    <row r="98" spans="8:20" x14ac:dyDescent="0.3"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</row>
    <row r="99" spans="8:20" x14ac:dyDescent="0.3"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</row>
    <row r="100" spans="8:20" x14ac:dyDescent="0.3"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</row>
    <row r="101" spans="8:20" x14ac:dyDescent="0.3"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</row>
    <row r="102" spans="8:20" x14ac:dyDescent="0.3"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</row>
    <row r="103" spans="8:20" x14ac:dyDescent="0.3"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</row>
    <row r="104" spans="8:20" x14ac:dyDescent="0.3"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</row>
    <row r="105" spans="8:20" x14ac:dyDescent="0.3"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</row>
    <row r="106" spans="8:20" x14ac:dyDescent="0.3"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</row>
    <row r="107" spans="8:20" x14ac:dyDescent="0.3"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</row>
    <row r="108" spans="8:20" x14ac:dyDescent="0.3"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</row>
    <row r="109" spans="8:20" x14ac:dyDescent="0.3"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</row>
    <row r="110" spans="8:20" x14ac:dyDescent="0.3"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</row>
    <row r="111" spans="8:20" x14ac:dyDescent="0.3"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</row>
    <row r="112" spans="8:20" x14ac:dyDescent="0.3"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</row>
    <row r="113" spans="8:20" x14ac:dyDescent="0.3"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</row>
    <row r="114" spans="8:20" x14ac:dyDescent="0.3"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</row>
    <row r="115" spans="8:20" x14ac:dyDescent="0.3"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</row>
    <row r="116" spans="8:20" x14ac:dyDescent="0.3"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</row>
    <row r="117" spans="8:20" x14ac:dyDescent="0.3"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</row>
    <row r="118" spans="8:20" x14ac:dyDescent="0.3"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</row>
    <row r="119" spans="8:20" x14ac:dyDescent="0.3"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</row>
    <row r="120" spans="8:20" x14ac:dyDescent="0.3"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</row>
    <row r="121" spans="8:20" x14ac:dyDescent="0.3"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</row>
    <row r="122" spans="8:20" x14ac:dyDescent="0.3"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</row>
    <row r="123" spans="8:20" x14ac:dyDescent="0.3"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</row>
  </sheetData>
  <mergeCells count="1">
    <mergeCell ref="A1:AD1"/>
  </mergeCells>
  <printOptions headings="1" gridLines="1"/>
  <pageMargins left="0.7" right="0.7" top="0.75" bottom="0.75" header="0.3" footer="0.3"/>
  <pageSetup paperSize="8" scale="85" orientation="portrait" horizontalDpi="4294967293" r:id="rId1"/>
  <headerFooter>
    <oddFooter>&amp;L&amp;Z&amp;F&amp;A
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SPNW 2017 Budget and 2012-2016</vt:lpstr>
      <vt:lpstr>'SPNW 2017 Budget and 2012-2016'!Print_Area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Sherwin O'Bar</dc:creator>
  <cp:lastModifiedBy>Sherwin O'Bar</cp:lastModifiedBy>
  <dcterms:created xsi:type="dcterms:W3CDTF">2017-02-20T18:19:34Z</dcterms:created>
  <dcterms:modified xsi:type="dcterms:W3CDTF">2017-02-20T18:21:11Z</dcterms:modified>
</cp:coreProperties>
</file>